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415" windowWidth="15330" windowHeight="4305" activeTab="4"/>
  </bookViews>
  <sheets>
    <sheet name="BS" sheetId="1" r:id="rId1"/>
    <sheet name="Income" sheetId="2" r:id="rId2"/>
    <sheet name="Highlights" sheetId="3" r:id="rId3"/>
    <sheet name="Net Yld QTR" sheetId="4" r:id="rId4"/>
    <sheet name="Net Yld YTD" sheetId="5" r:id="rId5"/>
  </sheets>
  <definedNames>
    <definedName name="_Regression_Int" localSheetId="4" hidden="1">1</definedName>
    <definedName name="_xlnm.Print_Area" localSheetId="0">'BS'!$A$1:$E$58</definedName>
    <definedName name="_xlnm.Print_Area" localSheetId="2">'Highlights'!$A$1:$AY$119</definedName>
    <definedName name="_xlnm.Print_Area" localSheetId="3">'Net Yld QTR'!$A$1:$P$55</definedName>
    <definedName name="_xlnm.Print_Area" localSheetId="4">'Net Yld YTD'!$A$1:$P$55</definedName>
    <definedName name="Print_Area_MI" localSheetId="4">'Net Yld YTD'!$B$5:$P$57</definedName>
    <definedName name="_xlnm.Print_Titles" localSheetId="2">'Highlights'!$1:$6</definedName>
  </definedNames>
  <calcPr fullCalcOnLoad="1"/>
</workbook>
</file>

<file path=xl/sharedStrings.xml><?xml version="1.0" encoding="utf-8"?>
<sst xmlns="http://schemas.openxmlformats.org/spreadsheetml/2006/main" count="460" uniqueCount="232">
  <si>
    <t>Change</t>
  </si>
  <si>
    <t>Consolidated Statements of Income</t>
  </si>
  <si>
    <t>Unaudited</t>
  </si>
  <si>
    <t>Three Months Ended</t>
  </si>
  <si>
    <t/>
  </si>
  <si>
    <t>Consolidated Balance Sheets</t>
  </si>
  <si>
    <t>ASSETS</t>
  </si>
  <si>
    <t>Accrued interest receivable and other assets</t>
  </si>
  <si>
    <t>Loans held for sale</t>
  </si>
  <si>
    <t>Core deposit intangibles, net</t>
  </si>
  <si>
    <t>}</t>
  </si>
  <si>
    <t>Interest-bearing deposits in other banks</t>
  </si>
  <si>
    <t>Noninterest Expense:</t>
  </si>
  <si>
    <t>Noninterest Income:</t>
  </si>
  <si>
    <t>Securities available for sale, at fair value</t>
  </si>
  <si>
    <t>Liabilities:</t>
  </si>
  <si>
    <t>Shareholders' equity:</t>
  </si>
  <si>
    <t>Net Interest Income After Provision</t>
  </si>
  <si>
    <t xml:space="preserve">Net Income Per Common Share:  </t>
  </si>
  <si>
    <t>Average Common Shares Outstanding:</t>
  </si>
  <si>
    <t>Goodwill</t>
  </si>
  <si>
    <t xml:space="preserve">   Trust preferred capital notes</t>
  </si>
  <si>
    <t>(Dollars in thousands, except share and per share data)</t>
  </si>
  <si>
    <t xml:space="preserve">   Interest and fees on loans</t>
  </si>
  <si>
    <t xml:space="preserve">   Interest and dividends on securities:</t>
  </si>
  <si>
    <t xml:space="preserve">     Taxable</t>
  </si>
  <si>
    <t xml:space="preserve">     Tax-exempt</t>
  </si>
  <si>
    <t xml:space="preserve">     Dividends</t>
  </si>
  <si>
    <t xml:space="preserve">   Other interest income</t>
  </si>
  <si>
    <t xml:space="preserve">      Total interest expense</t>
  </si>
  <si>
    <t xml:space="preserve">   for Loan Losses</t>
  </si>
  <si>
    <t xml:space="preserve">      Total noninterest income</t>
  </si>
  <si>
    <t xml:space="preserve">      Total noninterest expense</t>
  </si>
  <si>
    <t xml:space="preserve">    Basic</t>
  </si>
  <si>
    <t xml:space="preserve">    Diluted</t>
  </si>
  <si>
    <t>%</t>
  </si>
  <si>
    <t>Cash and due from banks</t>
  </si>
  <si>
    <t>Securities held to maturity</t>
  </si>
  <si>
    <t xml:space="preserve">      Total securities</t>
  </si>
  <si>
    <t xml:space="preserve">  Less allowance for loan losses</t>
  </si>
  <si>
    <t xml:space="preserve">      Net Loans</t>
  </si>
  <si>
    <t xml:space="preserve">      Total assets</t>
  </si>
  <si>
    <t>LIABILITIES AND SHAREHOLDERS' EQUITY</t>
  </si>
  <si>
    <t xml:space="preserve">   Demand deposits -- noninterest-bearing</t>
  </si>
  <si>
    <t xml:space="preserve">   Demand deposits -- interest-bearing</t>
  </si>
  <si>
    <t xml:space="preserve">   Money market deposits</t>
  </si>
  <si>
    <t xml:space="preserve">   Savings deposits</t>
  </si>
  <si>
    <t xml:space="preserve">   Time deposits</t>
  </si>
  <si>
    <t xml:space="preserve">      Total deposits</t>
  </si>
  <si>
    <t xml:space="preserve">   Accrued interest payable and other liabilities</t>
  </si>
  <si>
    <t xml:space="preserve">      Total liabilities</t>
  </si>
  <si>
    <t xml:space="preserve">   Common stock, $1 par, 10,000,000 shares authorized,</t>
  </si>
  <si>
    <t xml:space="preserve">   Capital in excess of par value</t>
  </si>
  <si>
    <t xml:space="preserve">   Retained earnings</t>
  </si>
  <si>
    <t xml:space="preserve">      Total shareholders' equity</t>
  </si>
  <si>
    <t xml:space="preserve">      Total liabilities and shareholders' equity</t>
  </si>
  <si>
    <t xml:space="preserve"> </t>
  </si>
  <si>
    <t>Financial Highlights</t>
  </si>
  <si>
    <t>EARNINGS</t>
  </si>
  <si>
    <t>Interest income</t>
  </si>
  <si>
    <t>Interest expense</t>
  </si>
  <si>
    <t>Net interest income</t>
  </si>
  <si>
    <t>Provision for loan losses</t>
  </si>
  <si>
    <t>Noninterest income</t>
  </si>
  <si>
    <t>Noninterest expense</t>
  </si>
  <si>
    <t>Income taxes</t>
  </si>
  <si>
    <t>Net income</t>
  </si>
  <si>
    <t xml:space="preserve">PER COMMON SHARE </t>
  </si>
  <si>
    <t>Earnings per share - basic</t>
  </si>
  <si>
    <t>Earnings per share - diluted</t>
  </si>
  <si>
    <t>Cash dividends declared</t>
  </si>
  <si>
    <t>Book value per share</t>
  </si>
  <si>
    <t>Book value per share - tangible (a)</t>
  </si>
  <si>
    <t>Closing market price</t>
  </si>
  <si>
    <t>FINANCIAL RATIOS</t>
  </si>
  <si>
    <t>Return on average assets</t>
  </si>
  <si>
    <t>Return on average equity</t>
  </si>
  <si>
    <t>Return on average tangible equity (b)</t>
  </si>
  <si>
    <t>Average equity to average assets</t>
  </si>
  <si>
    <t>Efficiency ratio</t>
  </si>
  <si>
    <t>Securities</t>
  </si>
  <si>
    <t>Goodwill and other intangibles</t>
  </si>
  <si>
    <t>Assets</t>
  </si>
  <si>
    <t>Assets - tangible (a)</t>
  </si>
  <si>
    <t>Deposits</t>
  </si>
  <si>
    <t>Shareholders' equity</t>
  </si>
  <si>
    <t>Shareholders' equity - tangible (a)</t>
  </si>
  <si>
    <t>AVERAGE BALANCES</t>
  </si>
  <si>
    <t>Total loans</t>
  </si>
  <si>
    <t>Interest-earning assets</t>
  </si>
  <si>
    <t>Interest-bearing deposits</t>
  </si>
  <si>
    <t xml:space="preserve">CAPITAL </t>
  </si>
  <si>
    <t>Average shares outstanding - basic</t>
  </si>
  <si>
    <t>Average shares outstanding - diluted</t>
  </si>
  <si>
    <t>Shares repurchased</t>
  </si>
  <si>
    <t>Average price of shares repurchased</t>
  </si>
  <si>
    <t>ALLOWANCE FOR LOAN LOSSES</t>
  </si>
  <si>
    <t>Beginning balance</t>
  </si>
  <si>
    <t>Charge-offs</t>
  </si>
  <si>
    <t>Recoveries</t>
  </si>
  <si>
    <t>Ending balance</t>
  </si>
  <si>
    <t>Nonperforming loans:</t>
  </si>
  <si>
    <t xml:space="preserve">    90 days past due</t>
  </si>
  <si>
    <t xml:space="preserve">    Nonaccrual</t>
  </si>
  <si>
    <t>Foreclosed real estate</t>
  </si>
  <si>
    <t>Nonperforming assets</t>
  </si>
  <si>
    <t>ASSET QUALITY RATIOS</t>
  </si>
  <si>
    <t>Allowance for loan losses to</t>
  </si>
  <si>
    <t>Notes:</t>
  </si>
  <si>
    <t>(a) - Excludes goodwill and other intangible assets</t>
  </si>
  <si>
    <t>(b) - Excludes amortization expense, net of tax, of intangible assets</t>
  </si>
  <si>
    <t>Interest</t>
  </si>
  <si>
    <t>Average Balance</t>
  </si>
  <si>
    <t>Income/Expense</t>
  </si>
  <si>
    <t>Yield/Rate</t>
  </si>
  <si>
    <t>Interest rate spread</t>
  </si>
  <si>
    <t>Net interest margin</t>
  </si>
  <si>
    <t>Net interest income (taxable equivalent basis)</t>
  </si>
  <si>
    <t>Loans:</t>
  </si>
  <si>
    <t>Commercial</t>
  </si>
  <si>
    <t>Consumer</t>
  </si>
  <si>
    <t>Securities:</t>
  </si>
  <si>
    <t>State and municipal</t>
  </si>
  <si>
    <t>Total securities</t>
  </si>
  <si>
    <t>Deposits in other banks</t>
  </si>
  <si>
    <t>Total assets</t>
  </si>
  <si>
    <t>Deposits:</t>
  </si>
  <si>
    <t>Demand</t>
  </si>
  <si>
    <t>Money market</t>
  </si>
  <si>
    <t>Savings</t>
  </si>
  <si>
    <t>Time</t>
  </si>
  <si>
    <t>Total deposits</t>
  </si>
  <si>
    <t>Other liabilities</t>
  </si>
  <si>
    <t>Total liabilities and</t>
  </si>
  <si>
    <t>Net interest margin, taxable equivalent</t>
  </si>
  <si>
    <t>OTHER DATA</t>
  </si>
  <si>
    <t>Number of full service offices</t>
  </si>
  <si>
    <t>Number of loan production offices</t>
  </si>
  <si>
    <t>Number of ATM's</t>
  </si>
  <si>
    <t>American National Bankshares Inc. and Subsidiaries</t>
  </si>
  <si>
    <t>Premises and equipment, net</t>
  </si>
  <si>
    <t xml:space="preserve">       Total interest and dividend income</t>
  </si>
  <si>
    <t xml:space="preserve">   Interest on deposits</t>
  </si>
  <si>
    <t xml:space="preserve">   Interest on trust preferred capital notes</t>
  </si>
  <si>
    <t xml:space="preserve"> Income Before Income Taxes</t>
  </si>
  <si>
    <t xml:space="preserve"> Income Taxes</t>
  </si>
  <si>
    <t>Effective tax rate</t>
  </si>
  <si>
    <t>N/A - Percentage change is not applicable or not meaningful</t>
  </si>
  <si>
    <t>NONPERFORMING ASSETS AT PERIOD-END</t>
  </si>
  <si>
    <t>LOANS</t>
  </si>
  <si>
    <t>Construction and land development</t>
  </si>
  <si>
    <t>Commercial real estate</t>
  </si>
  <si>
    <t>Residential real estate</t>
  </si>
  <si>
    <t>Home equity</t>
  </si>
  <si>
    <t>Commercial and industrial</t>
  </si>
  <si>
    <t>Total</t>
  </si>
  <si>
    <t>PERIOD-END BALANCES</t>
  </si>
  <si>
    <t>Customer repurchase agreements</t>
  </si>
  <si>
    <t>Annualized net chargeoffs to average loans</t>
  </si>
  <si>
    <t>Nonperforming assets to total assets</t>
  </si>
  <si>
    <t>Nonperforming loans to total loans</t>
  </si>
  <si>
    <t>Allowance for loan losses to total loans</t>
  </si>
  <si>
    <t xml:space="preserve">   nonperforming loans</t>
  </si>
  <si>
    <t>Fiduciary assets at period-end (c)</t>
  </si>
  <si>
    <t>Retail brokerage assets at period-end (c)</t>
  </si>
  <si>
    <t>(c) - Market value</t>
  </si>
  <si>
    <t>Other short-term borrowings</t>
  </si>
  <si>
    <t>Long-term borrowings</t>
  </si>
  <si>
    <t>Other real estate owned</t>
  </si>
  <si>
    <t xml:space="preserve">   Short-term borrowings:</t>
  </si>
  <si>
    <t xml:space="preserve">      Customer repurchase agreements</t>
  </si>
  <si>
    <t xml:space="preserve">      Other short-term borrowings</t>
  </si>
  <si>
    <t xml:space="preserve">   Long-term borrowings</t>
  </si>
  <si>
    <t xml:space="preserve">   Interest on short-term borrowings</t>
  </si>
  <si>
    <t xml:space="preserve">   Interest on long-term borrowings</t>
  </si>
  <si>
    <t>Net Interest Income Analysis</t>
  </si>
  <si>
    <t>Real estate</t>
  </si>
  <si>
    <t>Other</t>
  </si>
  <si>
    <t>shareholders' equity</t>
  </si>
  <si>
    <t>Less: Taxable equivalent adjustment</t>
  </si>
  <si>
    <t>Net Interest Income</t>
  </si>
  <si>
    <t xml:space="preserve">  nonfinancial data, unaudited)</t>
  </si>
  <si>
    <t xml:space="preserve">(In thousands, except share, ratio and </t>
  </si>
  <si>
    <t xml:space="preserve">   Accumulated other comprehensive income (loss), net</t>
  </si>
  <si>
    <t xml:space="preserve">   Provision for loan losses</t>
  </si>
  <si>
    <t xml:space="preserve">   Trust fees</t>
  </si>
  <si>
    <t xml:space="preserve">   Service charges on deposit accounts</t>
  </si>
  <si>
    <t xml:space="preserve">   Other fees and commissions</t>
  </si>
  <si>
    <t xml:space="preserve">   Mortgage banking income</t>
  </si>
  <si>
    <t xml:space="preserve">   Brokerage fees</t>
  </si>
  <si>
    <t xml:space="preserve">   Securities gains (losses), net</t>
  </si>
  <si>
    <t xml:space="preserve">   Impairment of securities</t>
  </si>
  <si>
    <t xml:space="preserve">   Other</t>
  </si>
  <si>
    <t xml:space="preserve">   Salaries</t>
  </si>
  <si>
    <t xml:space="preserve">   Employee benefits</t>
  </si>
  <si>
    <t xml:space="preserve">   Occupancy and equipment </t>
  </si>
  <si>
    <t xml:space="preserve">   Bank franchise tax</t>
  </si>
  <si>
    <t xml:space="preserve">   Core deposit intangible amortization</t>
  </si>
  <si>
    <t xml:space="preserve">   Other </t>
  </si>
  <si>
    <t xml:space="preserve">   FDIC assessment</t>
  </si>
  <si>
    <t xml:space="preserve">   Net loss on foreclosed real estate</t>
  </si>
  <si>
    <t>Non-earning assets</t>
  </si>
  <si>
    <t>Mortgage-backed &amp; CMO's</t>
  </si>
  <si>
    <t>Total interest-earning assets</t>
  </si>
  <si>
    <t xml:space="preserve"> Interest Expense:</t>
  </si>
  <si>
    <t xml:space="preserve"> Net Income</t>
  </si>
  <si>
    <t xml:space="preserve"> Interest and Dividend Income:</t>
  </si>
  <si>
    <t>YTD</t>
  </si>
  <si>
    <t>2nd Qtr</t>
  </si>
  <si>
    <t>Number full time-time equivalent employees (d)</t>
  </si>
  <si>
    <t>(d) - Average for quarter</t>
  </si>
  <si>
    <t>3rd Qtr</t>
  </si>
  <si>
    <t>Federal agencies and GSE</t>
  </si>
  <si>
    <t>Noninterest bearing demand deposits</t>
  </si>
  <si>
    <t>Total interest-bearing liabilites</t>
  </si>
  <si>
    <t>Loans</t>
  </si>
  <si>
    <t>December 31</t>
  </si>
  <si>
    <t xml:space="preserve">       6,110,335 shares outstanding at December 31, 2009 and</t>
  </si>
  <si>
    <t xml:space="preserve">       6,085,628 shares outstanding at December 31, 2008</t>
  </si>
  <si>
    <t>adj</t>
  </si>
  <si>
    <t>Twelve Months Ended</t>
  </si>
  <si>
    <t>For the Three Months Ended December 31, 2009 and 2008</t>
  </si>
  <si>
    <t>(in thousands, except yields and rates)</t>
  </si>
  <si>
    <t>For the Years Ended 2009 and 2008</t>
  </si>
  <si>
    <t>Average</t>
  </si>
  <si>
    <t>,</t>
  </si>
  <si>
    <t>1st Qtr</t>
  </si>
  <si>
    <t>4th Qtr</t>
  </si>
  <si>
    <t>f</t>
  </si>
  <si>
    <t>Loans, net of unearned income</t>
  </si>
  <si>
    <t>*does not include AFS</t>
  </si>
  <si>
    <t>*does not include HFS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</si>
</sst>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00_);_(* \(#,##0.000\);_(* &quot;-&quot;???_);_(@_)"/>
    <numFmt numFmtId="166" formatCode="General_)"/>
    <numFmt numFmtId="167" formatCode="@*."/>
    <numFmt numFmtId="168" formatCode="0.0_);[Red]\(0.0\)"/>
    <numFmt numFmtId="169" formatCode="0.00_);[Red]\(0.00\)"/>
    <numFmt numFmtId="170" formatCode="_(* #,##0.0_);_(* \(#,##0.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0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167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42" fontId="0" fillId="0" borderId="0" xfId="0" applyNumberFormat="1" applyFont="1" applyAlignment="1" applyProtection="1">
      <alignment/>
      <protection/>
    </xf>
    <xf numFmtId="42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1" fontId="0" fillId="0" borderId="1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2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/>
    </xf>
    <xf numFmtId="42" fontId="0" fillId="0" borderId="3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41" fontId="0" fillId="0" borderId="0" xfId="0" applyNumberFormat="1" applyFont="1" applyBorder="1" applyAlignment="1" applyProtection="1">
      <alignment horizontal="left"/>
      <protection/>
    </xf>
    <xf numFmtId="41" fontId="0" fillId="0" borderId="0" xfId="0" applyNumberFormat="1" applyFont="1" applyAlignment="1" applyProtection="1">
      <alignment horizontal="left"/>
      <protection/>
    </xf>
    <xf numFmtId="4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1" fontId="0" fillId="0" borderId="4" xfId="0" applyNumberFormat="1" applyFont="1" applyBorder="1" applyAlignment="1" applyProtection="1">
      <alignment/>
      <protection/>
    </xf>
    <xf numFmtId="41" fontId="1" fillId="0" borderId="0" xfId="0" applyNumberFormat="1" applyFont="1" applyAlignment="1" applyProtection="1">
      <alignment horizontal="left"/>
      <protection/>
    </xf>
    <xf numFmtId="0" fontId="1" fillId="0" borderId="0" xfId="0" applyNumberFormat="1" applyFont="1" applyAlignment="1" applyProtection="1" quotePrefix="1">
      <alignment horizontal="left"/>
      <protection/>
    </xf>
    <xf numFmtId="41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2" fontId="0" fillId="0" borderId="0" xfId="0" applyNumberFormat="1" applyFont="1" applyAlignment="1" applyProtection="1">
      <alignment horizontal="left"/>
      <protection/>
    </xf>
    <xf numFmtId="38" fontId="0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8" fontId="0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5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 horizontal="left"/>
      <protection/>
    </xf>
    <xf numFmtId="175" fontId="0" fillId="0" borderId="2" xfId="0" applyNumberFormat="1" applyFont="1" applyBorder="1" applyAlignment="1" applyProtection="1">
      <alignment/>
      <protection/>
    </xf>
    <xf numFmtId="175" fontId="0" fillId="0" borderId="4" xfId="0" applyNumberFormat="1" applyFont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41" fontId="0" fillId="0" borderId="4" xfId="0" applyNumberFormat="1" applyFont="1" applyBorder="1" applyAlignment="1" applyProtection="1">
      <alignment horizontal="left"/>
      <protection/>
    </xf>
    <xf numFmtId="175" fontId="0" fillId="0" borderId="3" xfId="0" applyNumberFormat="1" applyFont="1" applyBorder="1" applyAlignment="1" applyProtection="1">
      <alignment/>
      <protection/>
    </xf>
    <xf numFmtId="39" fontId="0" fillId="0" borderId="3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4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38" fontId="0" fillId="0" borderId="4" xfId="0" applyNumberFormat="1" applyFont="1" applyFill="1" applyBorder="1" applyAlignment="1">
      <alignment/>
    </xf>
    <xf numFmtId="38" fontId="1" fillId="0" borderId="4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41" fontId="0" fillId="0" borderId="4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42" fontId="0" fillId="0" borderId="5" xfId="0" applyNumberFormat="1" applyFont="1" applyBorder="1" applyAlignment="1" applyProtection="1">
      <alignment/>
      <protection/>
    </xf>
    <xf numFmtId="44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2" fontId="0" fillId="0" borderId="0" xfId="0" applyNumberFormat="1" applyFont="1" applyFill="1" applyAlignment="1" applyProtection="1">
      <alignment/>
      <protection locked="0"/>
    </xf>
    <xf numFmtId="38" fontId="0" fillId="0" borderId="0" xfId="0" applyNumberFormat="1" applyFont="1" applyFill="1" applyAlignment="1" applyProtection="1">
      <alignment/>
      <protection locked="0"/>
    </xf>
    <xf numFmtId="38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 locked="0"/>
    </xf>
    <xf numFmtId="44" fontId="0" fillId="0" borderId="0" xfId="0" applyNumberFormat="1" applyFont="1" applyFill="1" applyAlignment="1" applyProtection="1">
      <alignment/>
      <protection locked="0"/>
    </xf>
    <xf numFmtId="43" fontId="0" fillId="0" borderId="0" xfId="0" applyNumberFormat="1" applyFont="1" applyFill="1" applyAlignment="1" applyProtection="1">
      <alignment/>
      <protection locked="0"/>
    </xf>
    <xf numFmtId="41" fontId="1" fillId="0" borderId="4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43" fontId="0" fillId="0" borderId="0" xfId="0" applyNumberFormat="1" applyFont="1" applyAlignment="1">
      <alignment/>
    </xf>
    <xf numFmtId="41" fontId="1" fillId="0" borderId="0" xfId="15" applyNumberFormat="1" applyFont="1" applyFill="1" applyAlignment="1">
      <alignment/>
    </xf>
    <xf numFmtId="41" fontId="0" fillId="0" borderId="0" xfId="15" applyNumberFormat="1" applyFont="1" applyFill="1" applyAlignment="1">
      <alignment/>
    </xf>
    <xf numFmtId="38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quotePrefix="1">
      <alignment/>
    </xf>
    <xf numFmtId="0" fontId="0" fillId="0" borderId="1" xfId="0" applyFont="1" applyBorder="1" applyAlignment="1" quotePrefix="1">
      <alignment horizontal="centerContinuous"/>
    </xf>
    <xf numFmtId="0" fontId="0" fillId="0" borderId="6" xfId="0" applyFont="1" applyBorder="1" applyAlignment="1">
      <alignment horizontal="centerContinuous"/>
    </xf>
    <xf numFmtId="49" fontId="0" fillId="0" borderId="1" xfId="0" applyNumberFormat="1" applyFont="1" applyBorder="1" applyAlignment="1" applyProtection="1">
      <alignment horizontal="centerContinuous"/>
      <protection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8" fontId="0" fillId="0" borderId="2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 applyProtection="1">
      <alignment/>
      <protection/>
    </xf>
    <xf numFmtId="168" fontId="0" fillId="0" borderId="5" xfId="0" applyNumberFormat="1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41" fontId="0" fillId="0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4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center"/>
      <protection/>
    </xf>
    <xf numFmtId="42" fontId="0" fillId="0" borderId="7" xfId="0" applyNumberFormat="1" applyFont="1" applyBorder="1" applyAlignment="1" applyProtection="1">
      <alignment/>
      <protection/>
    </xf>
    <xf numFmtId="166" fontId="0" fillId="0" borderId="0" xfId="21" applyFont="1">
      <alignment/>
      <protection/>
    </xf>
    <xf numFmtId="166" fontId="0" fillId="0" borderId="0" xfId="21" applyFont="1" applyAlignment="1">
      <alignment horizontal="center"/>
      <protection/>
    </xf>
    <xf numFmtId="166" fontId="0" fillId="0" borderId="0" xfId="21" applyFont="1" applyBorder="1">
      <alignment/>
      <protection/>
    </xf>
    <xf numFmtId="166" fontId="0" fillId="0" borderId="0" xfId="21" applyFont="1" applyAlignment="1">
      <alignment/>
      <protection/>
    </xf>
    <xf numFmtId="166" fontId="0" fillId="0" borderId="0" xfId="21" applyFont="1" applyBorder="1" applyAlignment="1">
      <alignment horizontal="left"/>
      <protection/>
    </xf>
    <xf numFmtId="166" fontId="0" fillId="0" borderId="1" xfId="21" applyFont="1" applyFill="1" applyBorder="1" applyAlignment="1" applyProtection="1">
      <alignment horizontal="center"/>
      <protection/>
    </xf>
    <xf numFmtId="166" fontId="0" fillId="0" borderId="1" xfId="21" applyFont="1" applyBorder="1" applyProtection="1">
      <alignment/>
      <protection/>
    </xf>
    <xf numFmtId="166" fontId="0" fillId="0" borderId="0" xfId="21" applyFont="1" applyAlignment="1" applyProtection="1">
      <alignment horizontal="left"/>
      <protection/>
    </xf>
    <xf numFmtId="37" fontId="0" fillId="0" borderId="0" xfId="21" applyNumberFormat="1" applyFont="1" applyProtection="1">
      <alignment/>
      <protection/>
    </xf>
    <xf numFmtId="42" fontId="0" fillId="0" borderId="0" xfId="21" applyNumberFormat="1" applyFont="1" applyProtection="1">
      <alignment/>
      <protection/>
    </xf>
    <xf numFmtId="42" fontId="0" fillId="0" borderId="0" xfId="21" applyNumberFormat="1" applyFont="1" applyAlignment="1" applyProtection="1">
      <alignment horizontal="left"/>
      <protection/>
    </xf>
    <xf numFmtId="175" fontId="0" fillId="0" borderId="0" xfId="21" applyNumberFormat="1" applyFont="1" applyProtection="1">
      <alignment/>
      <protection/>
    </xf>
    <xf numFmtId="175" fontId="0" fillId="0" borderId="0" xfId="21" applyNumberFormat="1" applyFont="1" applyAlignment="1" applyProtection="1">
      <alignment horizontal="left"/>
      <protection/>
    </xf>
    <xf numFmtId="41" fontId="0" fillId="0" borderId="0" xfId="21" applyNumberFormat="1" applyFont="1" applyProtection="1">
      <alignment/>
      <protection/>
    </xf>
    <xf numFmtId="41" fontId="0" fillId="0" borderId="0" xfId="21" applyNumberFormat="1" applyFont="1">
      <alignment/>
      <protection/>
    </xf>
    <xf numFmtId="41" fontId="0" fillId="0" borderId="1" xfId="21" applyNumberFormat="1" applyFont="1" applyBorder="1" applyProtection="1">
      <alignment/>
      <protection/>
    </xf>
    <xf numFmtId="175" fontId="0" fillId="0" borderId="2" xfId="21" applyNumberFormat="1" applyFont="1" applyBorder="1" applyProtection="1">
      <alignment/>
      <protection/>
    </xf>
    <xf numFmtId="175" fontId="0" fillId="0" borderId="4" xfId="21" applyNumberFormat="1" applyFont="1" applyBorder="1" applyProtection="1">
      <alignment/>
      <protection/>
    </xf>
    <xf numFmtId="41" fontId="0" fillId="0" borderId="0" xfId="21" applyNumberFormat="1" applyFont="1" applyAlignment="1" applyProtection="1">
      <alignment horizontal="left"/>
      <protection/>
    </xf>
    <xf numFmtId="175" fontId="0" fillId="0" borderId="1" xfId="21" applyNumberFormat="1" applyFont="1" applyBorder="1" applyProtection="1">
      <alignment/>
      <protection/>
    </xf>
    <xf numFmtId="41" fontId="0" fillId="0" borderId="0" xfId="21" applyNumberFormat="1" applyFont="1" applyBorder="1" applyProtection="1">
      <alignment/>
      <protection/>
    </xf>
    <xf numFmtId="175" fontId="0" fillId="0" borderId="0" xfId="21" applyNumberFormat="1" applyFont="1" applyBorder="1" applyProtection="1">
      <alignment/>
      <protection/>
    </xf>
    <xf numFmtId="42" fontId="0" fillId="0" borderId="3" xfId="21" applyNumberFormat="1" applyFont="1" applyBorder="1" applyProtection="1">
      <alignment/>
      <protection/>
    </xf>
    <xf numFmtId="41" fontId="0" fillId="0" borderId="0" xfId="21" applyNumberFormat="1" applyFont="1" applyFill="1">
      <alignment/>
      <protection/>
    </xf>
    <xf numFmtId="166" fontId="0" fillId="0" borderId="0" xfId="21" applyFont="1" applyBorder="1" applyAlignment="1" applyProtection="1">
      <alignment horizontal="left"/>
      <protection/>
    </xf>
    <xf numFmtId="41" fontId="0" fillId="0" borderId="0" xfId="21" applyNumberFormat="1" applyFont="1" applyBorder="1" applyAlignment="1" applyProtection="1">
      <alignment horizontal="left"/>
      <protection/>
    </xf>
    <xf numFmtId="41" fontId="0" fillId="0" borderId="0" xfId="21" applyNumberFormat="1" applyFont="1" applyBorder="1">
      <alignment/>
      <protection/>
    </xf>
    <xf numFmtId="41" fontId="0" fillId="0" borderId="4" xfId="21" applyNumberFormat="1" applyFont="1" applyBorder="1" applyProtection="1">
      <alignment/>
      <protection/>
    </xf>
    <xf numFmtId="175" fontId="0" fillId="0" borderId="3" xfId="21" applyNumberFormat="1" applyFont="1" applyBorder="1" applyProtection="1">
      <alignment/>
      <protection/>
    </xf>
    <xf numFmtId="39" fontId="0" fillId="0" borderId="3" xfId="21" applyNumberFormat="1" applyFont="1" applyBorder="1" applyProtection="1">
      <alignment/>
      <protection/>
    </xf>
    <xf numFmtId="42" fontId="0" fillId="0" borderId="7" xfId="21" applyNumberFormat="1" applyFont="1" applyBorder="1" applyProtection="1">
      <alignment/>
      <protection/>
    </xf>
    <xf numFmtId="41" fontId="0" fillId="0" borderId="0" xfId="21" applyNumberFormat="1" applyFont="1" applyFill="1" applyProtection="1">
      <alignment/>
      <protection/>
    </xf>
    <xf numFmtId="166" fontId="6" fillId="0" borderId="0" xfId="21" applyFont="1">
      <alignment/>
      <protection/>
    </xf>
    <xf numFmtId="41" fontId="6" fillId="0" borderId="0" xfId="21" applyNumberFormat="1" applyFont="1">
      <alignment/>
      <protection/>
    </xf>
    <xf numFmtId="0" fontId="0" fillId="2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38" fontId="1" fillId="0" borderId="0" xfId="0" applyNumberFormat="1" applyFont="1" applyAlignment="1">
      <alignment/>
    </xf>
    <xf numFmtId="38" fontId="0" fillId="2" borderId="0" xfId="0" applyNumberFormat="1" applyFont="1" applyFill="1" applyAlignment="1">
      <alignment/>
    </xf>
    <xf numFmtId="38" fontId="0" fillId="0" borderId="0" xfId="0" applyNumberFormat="1" applyFont="1" applyBorder="1" applyAlignment="1">
      <alignment/>
    </xf>
    <xf numFmtId="42" fontId="1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38" fontId="1" fillId="0" borderId="0" xfId="0" applyNumberFormat="1" applyFont="1" applyFill="1" applyAlignment="1" applyProtection="1">
      <alignment/>
      <protection locked="0"/>
    </xf>
    <xf numFmtId="38" fontId="1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 applyProtection="1">
      <alignment/>
      <protection locked="0"/>
    </xf>
    <xf numFmtId="44" fontId="1" fillId="0" borderId="0" xfId="0" applyNumberFormat="1" applyFont="1" applyFill="1" applyAlignment="1" applyProtection="1">
      <alignment/>
      <protection locked="0"/>
    </xf>
    <xf numFmtId="43" fontId="1" fillId="0" borderId="0" xfId="0" applyNumberFormat="1" applyFont="1" applyFill="1" applyAlignment="1" applyProtection="1">
      <alignment/>
      <protection locked="0"/>
    </xf>
    <xf numFmtId="165" fontId="0" fillId="0" borderId="0" xfId="0" applyNumberFormat="1" applyFont="1" applyAlignment="1">
      <alignment/>
    </xf>
    <xf numFmtId="40" fontId="0" fillId="2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41" fontId="2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166" fontId="1" fillId="0" borderId="0" xfId="21" applyFont="1" applyAlignment="1">
      <alignment horizontal="center"/>
      <protection/>
    </xf>
    <xf numFmtId="166" fontId="0" fillId="0" borderId="4" xfId="21" applyFont="1" applyBorder="1" applyAlignment="1" applyProtection="1">
      <alignment horizontal="center"/>
      <protection/>
    </xf>
    <xf numFmtId="166" fontId="0" fillId="0" borderId="4" xfId="21" applyFont="1" applyBorder="1" applyAlignment="1">
      <alignment horizontal="center"/>
      <protection/>
    </xf>
    <xf numFmtId="166" fontId="0" fillId="0" borderId="0" xfId="21" applyFont="1" applyAlignment="1">
      <alignment horizontal="center"/>
      <protection/>
    </xf>
    <xf numFmtId="0" fontId="9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 - Net interest income analysi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showGridLines="0" workbookViewId="0" topLeftCell="A1">
      <selection activeCell="A14" sqref="A14"/>
    </sheetView>
  </sheetViews>
  <sheetFormatPr defaultColWidth="12.57421875" defaultRowHeight="12.75"/>
  <cols>
    <col min="1" max="1" width="58.8515625" style="2" customWidth="1"/>
    <col min="2" max="2" width="2.28125" style="2" customWidth="1"/>
    <col min="3" max="3" width="10.00390625" style="2" customWidth="1"/>
    <col min="4" max="4" width="4.8515625" style="2" customWidth="1"/>
    <col min="5" max="5" width="10.00390625" style="2" customWidth="1"/>
    <col min="6" max="6" width="4.8515625" style="2" hidden="1" customWidth="1"/>
    <col min="7" max="7" width="10.00390625" style="2" hidden="1" customWidth="1"/>
    <col min="8" max="8" width="3.7109375" style="2" hidden="1" customWidth="1"/>
    <col min="9" max="9" width="10.00390625" style="2" hidden="1" customWidth="1"/>
    <col min="10" max="16384" width="12.57421875" style="2" customWidth="1"/>
  </cols>
  <sheetData>
    <row r="1" spans="1:5" s="17" customFormat="1" ht="18">
      <c r="A1" s="168" t="s">
        <v>139</v>
      </c>
      <c r="B1" s="168"/>
      <c r="C1" s="168"/>
      <c r="D1" s="168"/>
      <c r="E1" s="168"/>
    </row>
    <row r="2" spans="1:5" s="17" customFormat="1" ht="18">
      <c r="A2" s="168" t="s">
        <v>5</v>
      </c>
      <c r="B2" s="168"/>
      <c r="C2" s="168"/>
      <c r="D2" s="168"/>
      <c r="E2" s="168"/>
    </row>
    <row r="3" spans="1:5" ht="12.75" customHeight="1">
      <c r="A3" s="169" t="s">
        <v>22</v>
      </c>
      <c r="B3" s="169"/>
      <c r="C3" s="169"/>
      <c r="D3" s="169"/>
      <c r="E3" s="169"/>
    </row>
    <row r="4" spans="1:5" ht="12.75" customHeight="1" thickBot="1">
      <c r="A4" s="96" t="s">
        <v>2</v>
      </c>
      <c r="B4" s="96"/>
      <c r="C4" s="96"/>
      <c r="D4" s="96"/>
      <c r="E4" s="96"/>
    </row>
    <row r="6" spans="3:5" ht="12.75">
      <c r="C6" s="97" t="s">
        <v>216</v>
      </c>
      <c r="D6" s="18"/>
      <c r="E6" s="18"/>
    </row>
    <row r="7" spans="1:9" ht="12.75">
      <c r="A7" s="93" t="s">
        <v>6</v>
      </c>
      <c r="C7" s="3">
        <v>2009</v>
      </c>
      <c r="E7" s="3">
        <v>2008</v>
      </c>
      <c r="G7" s="82" t="s">
        <v>0</v>
      </c>
      <c r="H7" s="29"/>
      <c r="I7" s="82" t="s">
        <v>35</v>
      </c>
    </row>
    <row r="8" spans="2:9" ht="12.75">
      <c r="B8" s="94" t="s">
        <v>4</v>
      </c>
      <c r="I8" s="98"/>
    </row>
    <row r="9" spans="1:9" ht="12.75">
      <c r="A9" s="11" t="s">
        <v>36</v>
      </c>
      <c r="B9" s="94" t="s">
        <v>4</v>
      </c>
      <c r="C9" s="8">
        <v>13250</v>
      </c>
      <c r="D9" s="30"/>
      <c r="E9" s="8">
        <v>15909</v>
      </c>
      <c r="F9" s="99" t="s">
        <v>10</v>
      </c>
      <c r="G9" s="13">
        <f>(+C9+C10)-(+E9+E10)</f>
        <v>-155</v>
      </c>
      <c r="I9" s="98">
        <f>+G9/(+E9+E10)*100</f>
        <v>-0.6432069051373558</v>
      </c>
    </row>
    <row r="10" spans="1:9" ht="12.75">
      <c r="A10" s="11" t="s">
        <v>11</v>
      </c>
      <c r="B10" s="94" t="s">
        <v>4</v>
      </c>
      <c r="C10" s="13">
        <v>10693</v>
      </c>
      <c r="D10" s="19"/>
      <c r="E10" s="13">
        <v>8189</v>
      </c>
      <c r="F10" s="99" t="s">
        <v>10</v>
      </c>
      <c r="I10" s="98"/>
    </row>
    <row r="11" spans="1:9" ht="12.75">
      <c r="A11" s="11"/>
      <c r="B11" s="94" t="s">
        <v>4</v>
      </c>
      <c r="C11" s="13"/>
      <c r="D11" s="20"/>
      <c r="E11" s="13"/>
      <c r="I11" s="98"/>
    </row>
    <row r="12" spans="1:9" ht="12.75">
      <c r="A12" s="11" t="s">
        <v>14</v>
      </c>
      <c r="B12" s="94" t="s">
        <v>4</v>
      </c>
      <c r="C12" s="10">
        <v>193157</v>
      </c>
      <c r="D12" s="20"/>
      <c r="E12" s="10">
        <v>133695</v>
      </c>
      <c r="G12" s="13">
        <f aca="true" t="shared" si="0" ref="G12:G28">+C12-E12</f>
        <v>59462</v>
      </c>
      <c r="I12" s="98">
        <f>+G12/E12*100</f>
        <v>44.47585923183365</v>
      </c>
    </row>
    <row r="13" spans="1:9" ht="12.75">
      <c r="A13" s="11" t="s">
        <v>37</v>
      </c>
      <c r="B13" s="94" t="s">
        <v>4</v>
      </c>
      <c r="C13" s="12">
        <v>6529</v>
      </c>
      <c r="D13" s="20"/>
      <c r="E13" s="12">
        <v>7121</v>
      </c>
      <c r="G13" s="13">
        <f t="shared" si="0"/>
        <v>-592</v>
      </c>
      <c r="I13" s="98">
        <f>+G13/E13*100</f>
        <v>-8.31343912371858</v>
      </c>
    </row>
    <row r="14" spans="1:9" ht="12.75">
      <c r="A14" s="11" t="s">
        <v>38</v>
      </c>
      <c r="B14" s="94" t="s">
        <v>4</v>
      </c>
      <c r="C14" s="12">
        <f>SUM(C12:C13)</f>
        <v>199686</v>
      </c>
      <c r="D14" s="15"/>
      <c r="E14" s="12">
        <f>SUM(E12:E13)</f>
        <v>140816</v>
      </c>
      <c r="G14" s="14">
        <f t="shared" si="0"/>
        <v>58870</v>
      </c>
      <c r="I14" s="100">
        <f>+G14/E14*100</f>
        <v>41.80632882626974</v>
      </c>
    </row>
    <row r="15" spans="1:9" ht="12.75">
      <c r="A15" s="11"/>
      <c r="B15" s="94"/>
      <c r="C15" s="13"/>
      <c r="D15" s="15"/>
      <c r="E15" s="13"/>
      <c r="G15" s="13"/>
      <c r="I15" s="101"/>
    </row>
    <row r="16" spans="1:9" ht="12.75">
      <c r="A16" s="11" t="s">
        <v>8</v>
      </c>
      <c r="B16" s="94"/>
      <c r="C16" s="13">
        <v>2490</v>
      </c>
      <c r="D16" s="15"/>
      <c r="E16" s="13">
        <v>1764</v>
      </c>
      <c r="G16" s="13">
        <f>+C16-E16</f>
        <v>726</v>
      </c>
      <c r="I16" s="98">
        <f>+G16/E16*100</f>
        <v>41.156462585034014</v>
      </c>
    </row>
    <row r="17" spans="1:9" ht="12.75">
      <c r="A17" s="11"/>
      <c r="B17" s="94"/>
      <c r="C17" s="13"/>
      <c r="D17" s="15"/>
      <c r="E17" s="13"/>
      <c r="G17" s="13"/>
      <c r="I17" s="101"/>
    </row>
    <row r="18" spans="1:9" ht="12.75">
      <c r="A18" s="11" t="s">
        <v>215</v>
      </c>
      <c r="B18" s="94" t="s">
        <v>4</v>
      </c>
      <c r="C18" s="10">
        <v>527991</v>
      </c>
      <c r="D18" s="20"/>
      <c r="E18" s="10">
        <v>571110</v>
      </c>
      <c r="G18" s="13">
        <f t="shared" si="0"/>
        <v>-43119</v>
      </c>
      <c r="I18" s="98">
        <f>+G18/E18*100</f>
        <v>-7.5500341440353</v>
      </c>
    </row>
    <row r="19" spans="1:9" ht="12.75">
      <c r="A19" s="11" t="s">
        <v>39</v>
      </c>
      <c r="B19" s="94" t="s">
        <v>4</v>
      </c>
      <c r="C19" s="12">
        <v>-8166</v>
      </c>
      <c r="D19" s="20"/>
      <c r="E19" s="12">
        <v>-7824</v>
      </c>
      <c r="G19" s="13">
        <f t="shared" si="0"/>
        <v>-342</v>
      </c>
      <c r="I19" s="98">
        <f>+G19/E19*100</f>
        <v>4.3711656441717786</v>
      </c>
    </row>
    <row r="20" spans="1:9" ht="12.75">
      <c r="A20" s="11" t="s">
        <v>40</v>
      </c>
      <c r="B20" s="94" t="s">
        <v>4</v>
      </c>
      <c r="C20" s="12">
        <f>C18+C19</f>
        <v>519825</v>
      </c>
      <c r="D20" s="15"/>
      <c r="E20" s="12">
        <f>E18+E19</f>
        <v>563286</v>
      </c>
      <c r="G20" s="14">
        <f t="shared" si="0"/>
        <v>-43461</v>
      </c>
      <c r="I20" s="100">
        <f>+G20/E20*100</f>
        <v>-7.715618708790917</v>
      </c>
    </row>
    <row r="21" spans="1:9" ht="12.75">
      <c r="A21" s="11"/>
      <c r="B21" s="94"/>
      <c r="C21" s="13"/>
      <c r="D21" s="15"/>
      <c r="E21" s="13"/>
      <c r="G21" s="13"/>
      <c r="I21" s="101"/>
    </row>
    <row r="22" spans="1:9" ht="12.75">
      <c r="A22" s="11" t="s">
        <v>140</v>
      </c>
      <c r="B22" s="94" t="s">
        <v>4</v>
      </c>
      <c r="C22" s="10">
        <v>19195</v>
      </c>
      <c r="D22" s="15"/>
      <c r="E22" s="10">
        <f>17431-302</f>
        <v>17129</v>
      </c>
      <c r="G22" s="13">
        <f t="shared" si="0"/>
        <v>2066</v>
      </c>
      <c r="I22" s="98">
        <f>+G22/E22*100</f>
        <v>12.061416311518478</v>
      </c>
    </row>
    <row r="23" spans="1:9" ht="12.75">
      <c r="A23" s="11" t="s">
        <v>168</v>
      </c>
      <c r="B23" s="94" t="s">
        <v>4</v>
      </c>
      <c r="C23" s="15">
        <v>3414</v>
      </c>
      <c r="D23" s="15"/>
      <c r="E23" s="15">
        <v>4311</v>
      </c>
      <c r="G23" s="13">
        <f>+C23-E23</f>
        <v>-897</v>
      </c>
      <c r="I23" s="98"/>
    </row>
    <row r="24" spans="1:9" ht="12.75">
      <c r="A24" s="11" t="s">
        <v>20</v>
      </c>
      <c r="B24" s="94"/>
      <c r="C24" s="10">
        <v>22468</v>
      </c>
      <c r="D24" s="15"/>
      <c r="E24" s="10">
        <v>22468</v>
      </c>
      <c r="G24" s="13">
        <f t="shared" si="0"/>
        <v>0</v>
      </c>
      <c r="I24" s="98">
        <f>+G24/E24*100</f>
        <v>0</v>
      </c>
    </row>
    <row r="25" spans="1:9" ht="12.75">
      <c r="A25" s="11" t="s">
        <v>9</v>
      </c>
      <c r="B25" s="94"/>
      <c r="C25" s="10">
        <v>1698</v>
      </c>
      <c r="D25" s="15"/>
      <c r="E25" s="10">
        <v>2075</v>
      </c>
      <c r="G25" s="13">
        <f>+C25-E25</f>
        <v>-377</v>
      </c>
      <c r="I25" s="98">
        <f>+G25/E25*100</f>
        <v>-18.168674698795183</v>
      </c>
    </row>
    <row r="26" spans="1:9" ht="12.75">
      <c r="A26" s="11" t="s">
        <v>7</v>
      </c>
      <c r="B26" s="94" t="s">
        <v>4</v>
      </c>
      <c r="C26" s="12">
        <v>16254</v>
      </c>
      <c r="D26" s="20"/>
      <c r="E26" s="12">
        <f>12935+302</f>
        <v>13237</v>
      </c>
      <c r="G26" s="23">
        <f t="shared" si="0"/>
        <v>3017</v>
      </c>
      <c r="I26" s="102">
        <f>+G26/E26*100</f>
        <v>22.792173453199364</v>
      </c>
    </row>
    <row r="27" spans="1:9" ht="12.75">
      <c r="A27" s="11"/>
      <c r="B27" s="94"/>
      <c r="C27" s="13"/>
      <c r="D27" s="20"/>
      <c r="E27" s="13"/>
      <c r="G27" s="13">
        <f t="shared" si="0"/>
        <v>0</v>
      </c>
      <c r="I27" s="98"/>
    </row>
    <row r="28" spans="1:9" ht="13.5" thickBot="1">
      <c r="A28" s="11" t="s">
        <v>41</v>
      </c>
      <c r="B28" s="94" t="s">
        <v>4</v>
      </c>
      <c r="C28" s="16">
        <f>C9+C10+C14+C16+C20+C22+C23+C24+C25+C26</f>
        <v>808973</v>
      </c>
      <c r="D28" s="30"/>
      <c r="E28" s="16">
        <f>E9+E10+E14+E16+E20+E22+E23+E24+E25+E26</f>
        <v>789184</v>
      </c>
      <c r="G28" s="103">
        <f t="shared" si="0"/>
        <v>19789</v>
      </c>
      <c r="I28" s="104">
        <f>+G28/E28*100</f>
        <v>2.5075267618198036</v>
      </c>
    </row>
    <row r="29" spans="1:9" ht="13.5" thickTop="1">
      <c r="A29" s="11"/>
      <c r="B29" s="94" t="s">
        <v>4</v>
      </c>
      <c r="C29" s="10"/>
      <c r="D29" s="15"/>
      <c r="E29" s="10"/>
      <c r="I29" s="98"/>
    </row>
    <row r="30" spans="1:9" ht="12.75">
      <c r="A30" s="93" t="s">
        <v>42</v>
      </c>
      <c r="B30" s="94" t="s">
        <v>4</v>
      </c>
      <c r="C30" s="10"/>
      <c r="D30" s="15"/>
      <c r="E30" s="10"/>
      <c r="I30" s="98"/>
    </row>
    <row r="31" spans="2:9" ht="12.75">
      <c r="B31" s="94" t="s">
        <v>4</v>
      </c>
      <c r="C31" s="15"/>
      <c r="D31" s="15"/>
      <c r="E31" s="15"/>
      <c r="I31" s="98"/>
    </row>
    <row r="32" spans="1:9" ht="12.75">
      <c r="A32" s="11" t="s">
        <v>15</v>
      </c>
      <c r="B32" s="94" t="s">
        <v>4</v>
      </c>
      <c r="C32" s="10"/>
      <c r="D32" s="15"/>
      <c r="E32" s="10"/>
      <c r="G32" s="13"/>
      <c r="I32" s="98"/>
    </row>
    <row r="33" spans="1:9" ht="12.75">
      <c r="A33" s="11" t="s">
        <v>43</v>
      </c>
      <c r="B33" s="94" t="s">
        <v>4</v>
      </c>
      <c r="C33" s="8">
        <v>101735</v>
      </c>
      <c r="D33" s="30"/>
      <c r="E33" s="8">
        <v>95703</v>
      </c>
      <c r="G33" s="13">
        <f aca="true" t="shared" si="1" ref="G33:G38">+C33-E33</f>
        <v>6032</v>
      </c>
      <c r="I33" s="98">
        <f aca="true" t="shared" si="2" ref="I33:I38">+G33/E33*100</f>
        <v>6.3028327220672296</v>
      </c>
    </row>
    <row r="34" spans="1:9" ht="12.75">
      <c r="A34" s="11" t="s">
        <v>44</v>
      </c>
      <c r="B34" s="94" t="s">
        <v>4</v>
      </c>
      <c r="C34" s="10">
        <v>97025</v>
      </c>
      <c r="D34" s="20"/>
      <c r="E34" s="10">
        <v>116132</v>
      </c>
      <c r="G34" s="13">
        <f t="shared" si="1"/>
        <v>-19107</v>
      </c>
      <c r="I34" s="98">
        <f t="shared" si="2"/>
        <v>-16.452829538800675</v>
      </c>
    </row>
    <row r="35" spans="1:9" ht="12.75">
      <c r="A35" s="11" t="s">
        <v>45</v>
      </c>
      <c r="B35" s="94" t="s">
        <v>4</v>
      </c>
      <c r="C35" s="10">
        <v>75554</v>
      </c>
      <c r="D35" s="20"/>
      <c r="E35" s="10">
        <v>56615</v>
      </c>
      <c r="G35" s="13">
        <f t="shared" si="1"/>
        <v>18939</v>
      </c>
      <c r="I35" s="98">
        <f t="shared" si="2"/>
        <v>33.452265300715354</v>
      </c>
    </row>
    <row r="36" spans="1:9" ht="12.75">
      <c r="A36" s="11" t="s">
        <v>46</v>
      </c>
      <c r="B36" s="94" t="s">
        <v>4</v>
      </c>
      <c r="C36" s="10">
        <v>61873</v>
      </c>
      <c r="D36" s="20"/>
      <c r="E36" s="10">
        <v>59624</v>
      </c>
      <c r="G36" s="13">
        <f t="shared" si="1"/>
        <v>2249</v>
      </c>
      <c r="I36" s="98">
        <f t="shared" si="2"/>
        <v>3.7719710183818598</v>
      </c>
    </row>
    <row r="37" spans="1:9" ht="12.75">
      <c r="A37" s="11" t="s">
        <v>47</v>
      </c>
      <c r="B37" s="94" t="s">
        <v>4</v>
      </c>
      <c r="C37" s="12">
        <v>268086</v>
      </c>
      <c r="D37" s="20"/>
      <c r="E37" s="12">
        <v>261064</v>
      </c>
      <c r="G37" s="23">
        <f t="shared" si="1"/>
        <v>7022</v>
      </c>
      <c r="I37" s="102">
        <f t="shared" si="2"/>
        <v>2.6897618974657553</v>
      </c>
    </row>
    <row r="38" spans="1:9" ht="12.75">
      <c r="A38" s="11" t="s">
        <v>48</v>
      </c>
      <c r="B38" s="94" t="s">
        <v>4</v>
      </c>
      <c r="C38" s="10">
        <f>SUM(C33:C37)</f>
        <v>604273</v>
      </c>
      <c r="D38" s="20"/>
      <c r="E38" s="10">
        <f>SUM(E33:E37)</f>
        <v>589138</v>
      </c>
      <c r="G38" s="13">
        <f t="shared" si="1"/>
        <v>15135</v>
      </c>
      <c r="I38" s="98">
        <f t="shared" si="2"/>
        <v>2.5690076009356044</v>
      </c>
    </row>
    <row r="39" spans="1:9" ht="12.75">
      <c r="A39" s="11"/>
      <c r="B39" s="94" t="s">
        <v>4</v>
      </c>
      <c r="C39" s="15"/>
      <c r="D39" s="15"/>
      <c r="E39" s="15"/>
      <c r="I39" s="98"/>
    </row>
    <row r="40" spans="1:9" ht="12.75">
      <c r="A40" s="11" t="s">
        <v>169</v>
      </c>
      <c r="B40" s="94"/>
      <c r="C40" s="15"/>
      <c r="D40" s="15"/>
      <c r="E40" s="15"/>
      <c r="I40" s="98"/>
    </row>
    <row r="41" spans="1:9" ht="12.75">
      <c r="A41" s="11" t="s">
        <v>170</v>
      </c>
      <c r="B41" s="94" t="s">
        <v>4</v>
      </c>
      <c r="C41" s="10">
        <v>65929</v>
      </c>
      <c r="D41" s="10"/>
      <c r="E41" s="10">
        <v>51741</v>
      </c>
      <c r="G41" s="13">
        <f>+C41-E41</f>
        <v>14188</v>
      </c>
      <c r="I41" s="98">
        <f>+G41/E41*100</f>
        <v>27.421194024081487</v>
      </c>
    </row>
    <row r="42" spans="1:9" ht="12.75">
      <c r="A42" s="11" t="s">
        <v>171</v>
      </c>
      <c r="B42" s="94"/>
      <c r="C42" s="10">
        <v>0</v>
      </c>
      <c r="D42" s="10"/>
      <c r="E42" s="10">
        <v>7850</v>
      </c>
      <c r="G42" s="13"/>
      <c r="I42" s="98"/>
    </row>
    <row r="43" spans="1:9" ht="12.75">
      <c r="A43" s="11" t="s">
        <v>172</v>
      </c>
      <c r="B43" s="94"/>
      <c r="C43" s="10">
        <v>8638</v>
      </c>
      <c r="D43" s="10"/>
      <c r="E43" s="10">
        <v>13787</v>
      </c>
      <c r="G43" s="13">
        <f>+C43-E43</f>
        <v>-5149</v>
      </c>
      <c r="I43" s="98">
        <f>+G43/E43*100</f>
        <v>-37.34677594835715</v>
      </c>
    </row>
    <row r="44" spans="1:9" ht="12.75">
      <c r="A44" s="11" t="s">
        <v>21</v>
      </c>
      <c r="B44" s="94"/>
      <c r="C44" s="10">
        <v>20619</v>
      </c>
      <c r="D44" s="10"/>
      <c r="E44" s="10">
        <v>20619</v>
      </c>
      <c r="G44" s="13">
        <f>+C44-E44</f>
        <v>0</v>
      </c>
      <c r="I44" s="98">
        <f>+G44/E44*100</f>
        <v>0</v>
      </c>
    </row>
    <row r="45" spans="1:9" ht="12.75">
      <c r="A45" s="11" t="s">
        <v>49</v>
      </c>
      <c r="B45" s="94" t="s">
        <v>4</v>
      </c>
      <c r="C45" s="12">
        <v>3125</v>
      </c>
      <c r="D45" s="20"/>
      <c r="E45" s="12">
        <v>3749</v>
      </c>
      <c r="G45" s="13">
        <f>+C45-E45</f>
        <v>-624</v>
      </c>
      <c r="I45" s="98">
        <f>+G45/E45*100</f>
        <v>-16.64443851693785</v>
      </c>
    </row>
    <row r="46" spans="1:9" ht="12.75">
      <c r="A46" s="11" t="s">
        <v>50</v>
      </c>
      <c r="B46" s="94" t="s">
        <v>4</v>
      </c>
      <c r="C46" s="12">
        <f>SUM(C38:C45)</f>
        <v>702584</v>
      </c>
      <c r="D46" s="20"/>
      <c r="E46" s="12">
        <f>SUM(E38:E45)</f>
        <v>686884</v>
      </c>
      <c r="G46" s="14">
        <f>+C46-E46</f>
        <v>15700</v>
      </c>
      <c r="I46" s="100">
        <f>+G46/E46*100</f>
        <v>2.2856843368021384</v>
      </c>
    </row>
    <row r="47" spans="1:9" ht="12.75">
      <c r="A47" s="11"/>
      <c r="B47" s="94" t="s">
        <v>4</v>
      </c>
      <c r="C47" s="15"/>
      <c r="D47" s="15"/>
      <c r="E47" s="15"/>
      <c r="I47" s="98"/>
    </row>
    <row r="48" spans="1:9" ht="12.75">
      <c r="A48" s="11" t="s">
        <v>16</v>
      </c>
      <c r="B48" s="94" t="s">
        <v>4</v>
      </c>
      <c r="C48" s="10"/>
      <c r="D48" s="15"/>
      <c r="E48" s="10"/>
      <c r="I48" s="98"/>
    </row>
    <row r="49" spans="1:9" ht="12.75">
      <c r="A49" s="11" t="s">
        <v>51</v>
      </c>
      <c r="B49" s="94" t="s">
        <v>4</v>
      </c>
      <c r="C49" s="10"/>
      <c r="D49" s="15"/>
      <c r="E49" s="10"/>
      <c r="I49" s="98"/>
    </row>
    <row r="50" spans="1:9" ht="12.75">
      <c r="A50" s="11" t="s">
        <v>217</v>
      </c>
      <c r="B50" s="94" t="s">
        <v>4</v>
      </c>
      <c r="C50" s="15"/>
      <c r="D50" s="15"/>
      <c r="E50" s="15"/>
      <c r="I50" s="98"/>
    </row>
    <row r="51" spans="1:9" ht="12.75">
      <c r="A51" s="11" t="s">
        <v>218</v>
      </c>
      <c r="B51" s="94" t="s">
        <v>4</v>
      </c>
      <c r="C51" s="10">
        <v>6110</v>
      </c>
      <c r="D51" s="15"/>
      <c r="E51" s="10">
        <v>6086</v>
      </c>
      <c r="G51" s="13">
        <f aca="true" t="shared" si="3" ref="G51:G57">+C51-E51</f>
        <v>24</v>
      </c>
      <c r="I51" s="98">
        <f aca="true" t="shared" si="4" ref="I51:I57">+G51/E51*100</f>
        <v>0.3943476832073612</v>
      </c>
    </row>
    <row r="52" spans="1:9" ht="12.75">
      <c r="A52" s="11" t="s">
        <v>52</v>
      </c>
      <c r="B52" s="94" t="s">
        <v>4</v>
      </c>
      <c r="C52" s="10">
        <v>26962</v>
      </c>
      <c r="D52" s="20"/>
      <c r="E52" s="10">
        <v>26491</v>
      </c>
      <c r="G52" s="13">
        <f t="shared" si="3"/>
        <v>471</v>
      </c>
      <c r="I52" s="98">
        <f t="shared" si="4"/>
        <v>1.7779623268279792</v>
      </c>
    </row>
    <row r="53" spans="1:9" ht="12.75">
      <c r="A53" s="11" t="s">
        <v>53</v>
      </c>
      <c r="B53" s="94" t="s">
        <v>4</v>
      </c>
      <c r="C53" s="10">
        <v>72208</v>
      </c>
      <c r="D53" s="15"/>
      <c r="E53" s="10">
        <v>71090</v>
      </c>
      <c r="G53" s="13">
        <f t="shared" si="3"/>
        <v>1118</v>
      </c>
      <c r="I53" s="98">
        <f t="shared" si="4"/>
        <v>1.572654381769588</v>
      </c>
    </row>
    <row r="54" spans="1:9" ht="12.75">
      <c r="A54" s="11" t="s">
        <v>183</v>
      </c>
      <c r="B54" s="94" t="s">
        <v>4</v>
      </c>
      <c r="C54" s="12">
        <v>1109</v>
      </c>
      <c r="D54" s="20"/>
      <c r="E54" s="12">
        <v>-1367</v>
      </c>
      <c r="G54" s="13">
        <f t="shared" si="3"/>
        <v>2476</v>
      </c>
      <c r="I54" s="98">
        <f t="shared" si="4"/>
        <v>-181.12655449890272</v>
      </c>
    </row>
    <row r="55" spans="1:9" ht="12.75">
      <c r="A55" s="11" t="s">
        <v>54</v>
      </c>
      <c r="B55" s="94" t="s">
        <v>4</v>
      </c>
      <c r="C55" s="12">
        <f>SUM(C49:C54)</f>
        <v>106389</v>
      </c>
      <c r="D55" s="20"/>
      <c r="E55" s="12">
        <f>SUM(E49:E54)</f>
        <v>102300</v>
      </c>
      <c r="G55" s="14">
        <f t="shared" si="3"/>
        <v>4089</v>
      </c>
      <c r="I55" s="100">
        <f t="shared" si="4"/>
        <v>3.997067448680352</v>
      </c>
    </row>
    <row r="56" spans="1:9" s="6" customFormat="1" ht="12.75">
      <c r="A56" s="11"/>
      <c r="G56" s="13">
        <f t="shared" si="3"/>
        <v>0</v>
      </c>
      <c r="I56" s="98"/>
    </row>
    <row r="57" spans="1:9" ht="13.5" thickBot="1">
      <c r="A57" s="11" t="s">
        <v>55</v>
      </c>
      <c r="B57" s="94" t="s">
        <v>4</v>
      </c>
      <c r="C57" s="16">
        <f>C46+C55</f>
        <v>808973</v>
      </c>
      <c r="D57" s="30"/>
      <c r="E57" s="16">
        <f>E46+E55</f>
        <v>789184</v>
      </c>
      <c r="G57" s="103">
        <f t="shared" si="3"/>
        <v>19789</v>
      </c>
      <c r="I57" s="104">
        <f t="shared" si="4"/>
        <v>2.5075267618198036</v>
      </c>
    </row>
    <row r="58" spans="1:9" ht="13.5" thickTop="1">
      <c r="A58" s="11"/>
      <c r="B58" s="94" t="s">
        <v>4</v>
      </c>
      <c r="C58" s="15"/>
      <c r="D58" s="15"/>
      <c r="E58" s="15"/>
      <c r="I58" s="98"/>
    </row>
    <row r="59" ht="12.75">
      <c r="A59" s="11"/>
    </row>
    <row r="60" spans="1:5" ht="12.75">
      <c r="A60" s="11"/>
      <c r="C60" s="2" t="s">
        <v>56</v>
      </c>
      <c r="E60" s="94"/>
    </row>
    <row r="73" spans="1:5" ht="12.75">
      <c r="A73"/>
      <c r="B73"/>
      <c r="C73"/>
      <c r="D73"/>
      <c r="E73"/>
    </row>
    <row r="75" ht="12.75">
      <c r="A75" s="11"/>
    </row>
    <row r="101" ht="12.75">
      <c r="A101" s="11" t="s">
        <v>225</v>
      </c>
    </row>
  </sheetData>
  <mergeCells count="3">
    <mergeCell ref="A1:E1"/>
    <mergeCell ref="A2:E2"/>
    <mergeCell ref="A3:E3"/>
  </mergeCells>
  <printOptions/>
  <pageMargins left="0.75" right="0.75" top="0.5" bottom="0.5" header="0.25" footer="0.2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workbookViewId="0" topLeftCell="A1">
      <selection activeCell="A2" sqref="A2:I2"/>
    </sheetView>
  </sheetViews>
  <sheetFormatPr defaultColWidth="12.57421875" defaultRowHeight="12.75"/>
  <cols>
    <col min="1" max="1" width="42.140625" style="2" customWidth="1"/>
    <col min="2" max="2" width="2.28125" style="2" customWidth="1"/>
    <col min="3" max="3" width="10.28125" style="2" bestFit="1" customWidth="1"/>
    <col min="4" max="4" width="2.28125" style="2" customWidth="1"/>
    <col min="5" max="5" width="14.00390625" style="2" bestFit="1" customWidth="1"/>
    <col min="6" max="6" width="4.8515625" style="2" customWidth="1"/>
    <col min="7" max="7" width="10.28125" style="2" bestFit="1" customWidth="1"/>
    <col min="8" max="8" width="3.140625" style="2" customWidth="1"/>
    <col min="9" max="9" width="10.28125" style="2" bestFit="1" customWidth="1"/>
    <col min="10" max="16384" width="12.57421875" style="2" customWidth="1"/>
  </cols>
  <sheetData>
    <row r="1" spans="2:9" ht="12.75" customHeight="1">
      <c r="B1" s="7" t="s">
        <v>4</v>
      </c>
      <c r="C1" s="22"/>
      <c r="D1" s="22"/>
      <c r="E1" s="22"/>
      <c r="F1" s="22"/>
      <c r="G1" s="22"/>
      <c r="H1" s="22"/>
      <c r="I1" s="22"/>
    </row>
    <row r="2" spans="1:9" s="17" customFormat="1" ht="18">
      <c r="A2" s="172" t="s">
        <v>139</v>
      </c>
      <c r="B2" s="172"/>
      <c r="C2" s="172"/>
      <c r="D2" s="172"/>
      <c r="E2" s="172"/>
      <c r="F2" s="172"/>
      <c r="G2" s="172"/>
      <c r="H2" s="172"/>
      <c r="I2" s="172"/>
    </row>
    <row r="3" spans="1:9" s="92" customFormat="1" ht="18.75">
      <c r="A3" s="172" t="s">
        <v>1</v>
      </c>
      <c r="B3" s="172"/>
      <c r="C3" s="172"/>
      <c r="D3" s="172"/>
      <c r="E3" s="172"/>
      <c r="F3" s="172"/>
      <c r="G3" s="172"/>
      <c r="H3" s="172"/>
      <c r="I3" s="172"/>
    </row>
    <row r="4" spans="1:9" ht="12.75" customHeight="1">
      <c r="A4" s="170" t="s">
        <v>22</v>
      </c>
      <c r="B4" s="170"/>
      <c r="C4" s="170"/>
      <c r="D4" s="170"/>
      <c r="E4" s="170"/>
      <c r="F4" s="170"/>
      <c r="G4" s="170"/>
      <c r="H4" s="170"/>
      <c r="I4" s="170"/>
    </row>
    <row r="5" spans="1:9" ht="13.5" thickBot="1">
      <c r="A5" s="171" t="s">
        <v>2</v>
      </c>
      <c r="B5" s="171"/>
      <c r="C5" s="171"/>
      <c r="D5" s="171"/>
      <c r="E5" s="171"/>
      <c r="F5" s="171"/>
      <c r="G5" s="171"/>
      <c r="H5" s="171"/>
      <c r="I5" s="171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2:9" ht="12.75" customHeight="1">
      <c r="B7" s="11"/>
      <c r="C7" s="65" t="s">
        <v>3</v>
      </c>
      <c r="D7" s="65"/>
      <c r="E7" s="65"/>
      <c r="G7" s="65" t="s">
        <v>220</v>
      </c>
      <c r="H7" s="65"/>
      <c r="I7" s="65"/>
    </row>
    <row r="8" spans="2:9" ht="12.75" customHeight="1">
      <c r="B8" s="108" t="s">
        <v>4</v>
      </c>
      <c r="C8" s="95" t="s">
        <v>216</v>
      </c>
      <c r="D8" s="18"/>
      <c r="E8" s="18"/>
      <c r="G8" s="95" t="s">
        <v>216</v>
      </c>
      <c r="H8" s="18"/>
      <c r="I8" s="18"/>
    </row>
    <row r="9" spans="3:9" ht="12.75" customHeight="1">
      <c r="C9" s="3">
        <v>2009</v>
      </c>
      <c r="E9" s="3">
        <v>2008</v>
      </c>
      <c r="G9" s="3">
        <v>2009</v>
      </c>
      <c r="I9" s="3">
        <v>2008</v>
      </c>
    </row>
    <row r="10" ht="12.75" customHeight="1">
      <c r="A10" s="24" t="s">
        <v>206</v>
      </c>
    </row>
    <row r="11" spans="1:9" ht="12.75" customHeight="1">
      <c r="A11" s="2" t="s">
        <v>23</v>
      </c>
      <c r="B11" s="7" t="s">
        <v>4</v>
      </c>
      <c r="C11" s="8">
        <v>7445</v>
      </c>
      <c r="D11" s="9"/>
      <c r="E11" s="8">
        <v>8594</v>
      </c>
      <c r="F11" s="21"/>
      <c r="G11" s="8">
        <v>31062</v>
      </c>
      <c r="H11" s="21"/>
      <c r="I11" s="8">
        <v>35941</v>
      </c>
    </row>
    <row r="12" spans="1:9" ht="12.75" customHeight="1">
      <c r="A12" s="2" t="s">
        <v>24</v>
      </c>
      <c r="B12" s="7" t="s">
        <v>4</v>
      </c>
      <c r="C12" s="10"/>
      <c r="D12" s="10"/>
      <c r="E12" s="10"/>
      <c r="F12" s="15"/>
      <c r="G12" s="10"/>
      <c r="H12" s="15"/>
      <c r="I12" s="10"/>
    </row>
    <row r="13" spans="1:9" ht="12.75" customHeight="1">
      <c r="A13" s="2" t="s">
        <v>25</v>
      </c>
      <c r="B13" s="7" t="s">
        <v>4</v>
      </c>
      <c r="C13" s="10">
        <v>1259</v>
      </c>
      <c r="D13" s="10"/>
      <c r="E13" s="10">
        <v>1151</v>
      </c>
      <c r="F13" s="15"/>
      <c r="G13" s="10">
        <v>4853</v>
      </c>
      <c r="H13" s="15"/>
      <c r="I13" s="10">
        <v>4795</v>
      </c>
    </row>
    <row r="14" spans="1:9" ht="12.75" customHeight="1">
      <c r="A14" s="2" t="s">
        <v>26</v>
      </c>
      <c r="B14" s="7" t="s">
        <v>4</v>
      </c>
      <c r="C14" s="10">
        <v>437</v>
      </c>
      <c r="D14" s="10"/>
      <c r="E14" s="10">
        <v>381</v>
      </c>
      <c r="F14" s="15"/>
      <c r="G14" s="10">
        <v>1673</v>
      </c>
      <c r="H14" s="15"/>
      <c r="I14" s="10">
        <v>1621</v>
      </c>
    </row>
    <row r="15" spans="1:9" ht="12.75" customHeight="1">
      <c r="A15" s="2" t="s">
        <v>27</v>
      </c>
      <c r="B15" s="7" t="s">
        <v>4</v>
      </c>
      <c r="C15" s="10">
        <v>25</v>
      </c>
      <c r="D15" s="10"/>
      <c r="E15" s="10">
        <v>23</v>
      </c>
      <c r="F15" s="15"/>
      <c r="G15" s="10">
        <v>95</v>
      </c>
      <c r="H15" s="15"/>
      <c r="I15" s="10">
        <v>214</v>
      </c>
    </row>
    <row r="16" spans="1:9" ht="12.75" customHeight="1">
      <c r="A16" s="2" t="s">
        <v>28</v>
      </c>
      <c r="B16" s="7"/>
      <c r="C16" s="10">
        <v>91</v>
      </c>
      <c r="D16" s="10"/>
      <c r="E16" s="10">
        <v>76</v>
      </c>
      <c r="F16" s="15"/>
      <c r="G16" s="10">
        <v>378</v>
      </c>
      <c r="H16" s="15"/>
      <c r="I16" s="10">
        <v>301</v>
      </c>
    </row>
    <row r="17" spans="1:9" ht="12.75" customHeight="1">
      <c r="A17" s="2" t="s">
        <v>141</v>
      </c>
      <c r="B17" s="7" t="s">
        <v>4</v>
      </c>
      <c r="C17" s="14">
        <v>9257</v>
      </c>
      <c r="D17" s="10"/>
      <c r="E17" s="14">
        <v>10225</v>
      </c>
      <c r="F17" s="15"/>
      <c r="G17" s="14">
        <v>38061</v>
      </c>
      <c r="H17" s="15"/>
      <c r="I17" s="14">
        <v>42872</v>
      </c>
    </row>
    <row r="18" spans="2:9" ht="12.75" customHeight="1">
      <c r="B18" s="7"/>
      <c r="C18" s="13"/>
      <c r="D18" s="10"/>
      <c r="E18" s="13"/>
      <c r="F18" s="15"/>
      <c r="G18" s="13"/>
      <c r="H18" s="15"/>
      <c r="I18" s="13"/>
    </row>
    <row r="19" spans="1:9" ht="12.75" customHeight="1">
      <c r="A19" s="1" t="s">
        <v>204</v>
      </c>
      <c r="B19" s="7" t="s">
        <v>4</v>
      </c>
      <c r="C19" s="10"/>
      <c r="D19" s="10"/>
      <c r="E19" s="10"/>
      <c r="F19" s="15"/>
      <c r="G19" s="10"/>
      <c r="H19" s="15"/>
      <c r="I19" s="10"/>
    </row>
    <row r="20" spans="1:9" ht="12.75" customHeight="1">
      <c r="A20" s="2" t="s">
        <v>142</v>
      </c>
      <c r="B20" s="7" t="s">
        <v>4</v>
      </c>
      <c r="C20" s="10">
        <v>1771</v>
      </c>
      <c r="D20" s="10"/>
      <c r="E20" s="10">
        <v>2737</v>
      </c>
      <c r="F20" s="15"/>
      <c r="G20" s="10">
        <v>8399</v>
      </c>
      <c r="H20" s="15"/>
      <c r="I20" s="10">
        <v>12280</v>
      </c>
    </row>
    <row r="21" spans="1:9" ht="12.75" customHeight="1">
      <c r="A21" s="2" t="s">
        <v>173</v>
      </c>
      <c r="B21" s="7"/>
      <c r="C21" s="10">
        <v>127</v>
      </c>
      <c r="D21" s="10"/>
      <c r="E21" s="10">
        <v>289</v>
      </c>
      <c r="F21" s="15"/>
      <c r="G21" s="10">
        <v>675</v>
      </c>
      <c r="H21" s="15"/>
      <c r="I21" s="10">
        <v>1629</v>
      </c>
    </row>
    <row r="22" spans="1:9" ht="12.75" customHeight="1">
      <c r="A22" s="2" t="s">
        <v>174</v>
      </c>
      <c r="B22" s="7"/>
      <c r="C22" s="10">
        <v>66</v>
      </c>
      <c r="D22" s="10"/>
      <c r="E22" s="10">
        <v>134</v>
      </c>
      <c r="F22" s="15"/>
      <c r="G22" s="13">
        <v>342</v>
      </c>
      <c r="H22" s="26"/>
      <c r="I22" s="13">
        <v>557</v>
      </c>
    </row>
    <row r="23" spans="1:9" ht="12.75" customHeight="1">
      <c r="A23" s="2" t="s">
        <v>143</v>
      </c>
      <c r="B23" s="7"/>
      <c r="C23" s="13">
        <v>343</v>
      </c>
      <c r="D23" s="13"/>
      <c r="E23" s="13">
        <v>343</v>
      </c>
      <c r="F23" s="15"/>
      <c r="G23" s="13">
        <v>1373</v>
      </c>
      <c r="H23" s="26"/>
      <c r="I23" s="13">
        <v>1373</v>
      </c>
    </row>
    <row r="24" spans="1:9" ht="12.75" customHeight="1">
      <c r="A24" s="2" t="s">
        <v>29</v>
      </c>
      <c r="B24" s="7" t="s">
        <v>4</v>
      </c>
      <c r="C24" s="14">
        <v>2307</v>
      </c>
      <c r="D24" s="10"/>
      <c r="E24" s="14">
        <v>3503</v>
      </c>
      <c r="F24" s="15"/>
      <c r="G24" s="14">
        <v>10789</v>
      </c>
      <c r="H24" s="15"/>
      <c r="I24" s="14">
        <v>15839</v>
      </c>
    </row>
    <row r="25" spans="2:9" ht="12.75" customHeight="1">
      <c r="B25" s="7"/>
      <c r="C25" s="13"/>
      <c r="D25" s="10"/>
      <c r="E25" s="13"/>
      <c r="F25" s="15"/>
      <c r="G25" s="13"/>
      <c r="H25" s="15"/>
      <c r="I25" s="13"/>
    </row>
    <row r="26" spans="1:9" ht="12.75" customHeight="1">
      <c r="A26" s="24" t="s">
        <v>180</v>
      </c>
      <c r="B26" s="7" t="s">
        <v>4</v>
      </c>
      <c r="C26" s="10">
        <v>6950</v>
      </c>
      <c r="D26" s="10"/>
      <c r="E26" s="10">
        <v>6722</v>
      </c>
      <c r="F26" s="15"/>
      <c r="G26" s="10">
        <v>27272</v>
      </c>
      <c r="H26" s="15"/>
      <c r="I26" s="10">
        <v>27033</v>
      </c>
    </row>
    <row r="27" spans="1:9" ht="12.75" customHeight="1">
      <c r="A27" s="2" t="s">
        <v>184</v>
      </c>
      <c r="B27" s="7" t="s">
        <v>4</v>
      </c>
      <c r="C27" s="12">
        <v>328</v>
      </c>
      <c r="D27" s="10"/>
      <c r="E27" s="12">
        <v>600</v>
      </c>
      <c r="F27" s="15"/>
      <c r="G27" s="12">
        <v>1662</v>
      </c>
      <c r="H27" s="15"/>
      <c r="I27" s="12">
        <v>1620</v>
      </c>
    </row>
    <row r="28" spans="2:9" ht="12.75" customHeight="1">
      <c r="B28" s="7" t="s">
        <v>4</v>
      </c>
      <c r="C28" s="10"/>
      <c r="D28" s="15"/>
      <c r="E28" s="10"/>
      <c r="F28" s="15"/>
      <c r="G28" s="10"/>
      <c r="H28" s="15"/>
      <c r="I28" s="10"/>
    </row>
    <row r="29" spans="1:9" ht="12.75" customHeight="1">
      <c r="A29" s="5" t="s">
        <v>17</v>
      </c>
      <c r="B29" s="7" t="s">
        <v>4</v>
      </c>
      <c r="C29" s="10"/>
      <c r="D29" s="10"/>
      <c r="E29" s="10"/>
      <c r="F29" s="15"/>
      <c r="G29" s="10"/>
      <c r="H29" s="15"/>
      <c r="I29" s="10"/>
    </row>
    <row r="30" spans="1:9" ht="12.75" customHeight="1">
      <c r="A30" s="24" t="s">
        <v>30</v>
      </c>
      <c r="B30" s="7" t="s">
        <v>4</v>
      </c>
      <c r="C30" s="12">
        <v>6622</v>
      </c>
      <c r="D30" s="10"/>
      <c r="E30" s="12">
        <v>6122</v>
      </c>
      <c r="F30" s="15"/>
      <c r="G30" s="12">
        <v>25610</v>
      </c>
      <c r="H30" s="15"/>
      <c r="I30" s="12">
        <v>25413</v>
      </c>
    </row>
    <row r="31" spans="1:9" ht="12.75" customHeight="1">
      <c r="A31" s="24"/>
      <c r="B31" s="7" t="s">
        <v>4</v>
      </c>
      <c r="C31" s="10"/>
      <c r="D31" s="15"/>
      <c r="E31" s="10"/>
      <c r="F31" s="15"/>
      <c r="G31" s="10"/>
      <c r="H31" s="15"/>
      <c r="I31" s="10"/>
    </row>
    <row r="32" spans="1:9" ht="12.75" customHeight="1">
      <c r="A32" s="24" t="s">
        <v>13</v>
      </c>
      <c r="B32" s="7" t="s">
        <v>4</v>
      </c>
      <c r="C32" s="10"/>
      <c r="D32" s="10"/>
      <c r="E32" s="10"/>
      <c r="F32" s="15"/>
      <c r="G32" s="10"/>
      <c r="H32" s="15"/>
      <c r="I32" s="10"/>
    </row>
    <row r="33" spans="1:9" ht="12.75" customHeight="1">
      <c r="A33" s="2" t="s">
        <v>185</v>
      </c>
      <c r="B33" s="7" t="s">
        <v>4</v>
      </c>
      <c r="C33" s="10">
        <v>815</v>
      </c>
      <c r="D33" s="10"/>
      <c r="E33" s="10">
        <v>770</v>
      </c>
      <c r="F33" s="15"/>
      <c r="G33" s="10">
        <v>3153</v>
      </c>
      <c r="H33" s="15"/>
      <c r="I33" s="10">
        <v>3467</v>
      </c>
    </row>
    <row r="34" spans="1:9" ht="12.75" customHeight="1">
      <c r="A34" s="2" t="s">
        <v>186</v>
      </c>
      <c r="B34" s="7" t="s">
        <v>4</v>
      </c>
      <c r="C34" s="10">
        <v>536</v>
      </c>
      <c r="D34" s="10"/>
      <c r="E34" s="10">
        <v>555</v>
      </c>
      <c r="F34" s="15"/>
      <c r="G34" s="10">
        <v>2085</v>
      </c>
      <c r="H34" s="15"/>
      <c r="I34" s="10">
        <v>2324</v>
      </c>
    </row>
    <row r="35" spans="1:9" ht="12.75" customHeight="1">
      <c r="A35" s="2" t="s">
        <v>187</v>
      </c>
      <c r="B35" s="7" t="s">
        <v>4</v>
      </c>
      <c r="C35" s="10">
        <v>264</v>
      </c>
      <c r="D35" s="10"/>
      <c r="E35" s="10">
        <v>235</v>
      </c>
      <c r="F35" s="15"/>
      <c r="G35" s="10">
        <v>1014</v>
      </c>
      <c r="H35" s="15"/>
      <c r="I35" s="10">
        <v>857</v>
      </c>
    </row>
    <row r="36" spans="1:9" ht="12.75" customHeight="1">
      <c r="A36" s="2" t="s">
        <v>188</v>
      </c>
      <c r="B36" s="7"/>
      <c r="C36" s="10">
        <v>390</v>
      </c>
      <c r="D36" s="10"/>
      <c r="E36" s="10">
        <v>155</v>
      </c>
      <c r="F36" s="15"/>
      <c r="G36" s="10">
        <v>1605</v>
      </c>
      <c r="H36" s="15"/>
      <c r="I36" s="10">
        <v>788</v>
      </c>
    </row>
    <row r="37" spans="1:9" ht="12.75" customHeight="1">
      <c r="A37" s="2" t="s">
        <v>189</v>
      </c>
      <c r="B37" s="7"/>
      <c r="C37" s="10">
        <v>32</v>
      </c>
      <c r="D37" s="10"/>
      <c r="E37" s="10">
        <v>61</v>
      </c>
      <c r="F37" s="15"/>
      <c r="G37" s="10">
        <v>185</v>
      </c>
      <c r="H37" s="15"/>
      <c r="I37" s="10">
        <v>431</v>
      </c>
    </row>
    <row r="38" spans="1:9" ht="12.75" customHeight="1">
      <c r="A38" s="2" t="s">
        <v>190</v>
      </c>
      <c r="B38" s="7"/>
      <c r="C38" s="10">
        <v>1</v>
      </c>
      <c r="D38" s="10"/>
      <c r="E38" s="10">
        <v>0</v>
      </c>
      <c r="F38" s="15"/>
      <c r="G38" s="10">
        <v>3</v>
      </c>
      <c r="H38" s="15"/>
      <c r="I38" s="10">
        <v>-195</v>
      </c>
    </row>
    <row r="39" spans="1:9" ht="12.75" customHeight="1">
      <c r="A39" s="2" t="s">
        <v>191</v>
      </c>
      <c r="B39" s="7"/>
      <c r="C39" s="10">
        <v>0</v>
      </c>
      <c r="D39" s="10"/>
      <c r="E39" s="10">
        <v>0</v>
      </c>
      <c r="F39" s="15"/>
      <c r="G39" s="10">
        <v>0</v>
      </c>
      <c r="H39" s="15"/>
      <c r="I39" s="10">
        <v>-255</v>
      </c>
    </row>
    <row r="40" spans="1:9" ht="12.75" customHeight="1">
      <c r="A40" s="2" t="s">
        <v>200</v>
      </c>
      <c r="B40" s="7"/>
      <c r="C40" s="10">
        <v>-253</v>
      </c>
      <c r="D40" s="10"/>
      <c r="E40" s="10">
        <v>-13</v>
      </c>
      <c r="F40" s="15"/>
      <c r="G40" s="10">
        <v>-1475</v>
      </c>
      <c r="H40" s="15"/>
      <c r="I40" s="10">
        <v>-20</v>
      </c>
    </row>
    <row r="41" spans="1:9" ht="12.75" customHeight="1">
      <c r="A41" s="2" t="s">
        <v>192</v>
      </c>
      <c r="B41" s="7"/>
      <c r="C41" s="10">
        <v>152</v>
      </c>
      <c r="D41" s="10"/>
      <c r="E41" s="10">
        <v>112</v>
      </c>
      <c r="F41" s="15"/>
      <c r="G41" s="10">
        <v>473</v>
      </c>
      <c r="H41" s="15"/>
      <c r="I41" s="10">
        <v>516</v>
      </c>
    </row>
    <row r="42" spans="1:9" ht="12.75" customHeight="1">
      <c r="A42" s="2" t="s">
        <v>31</v>
      </c>
      <c r="B42" s="7" t="s">
        <v>4</v>
      </c>
      <c r="C42" s="14">
        <v>1937</v>
      </c>
      <c r="D42" s="10"/>
      <c r="E42" s="14">
        <v>1875</v>
      </c>
      <c r="F42" s="15"/>
      <c r="G42" s="14">
        <v>7043</v>
      </c>
      <c r="H42" s="15"/>
      <c r="I42" s="14">
        <v>7913</v>
      </c>
    </row>
    <row r="43" spans="2:9" ht="12.75" customHeight="1">
      <c r="B43" s="7"/>
      <c r="C43" s="13"/>
      <c r="D43" s="10"/>
      <c r="E43" s="13"/>
      <c r="F43" s="15"/>
      <c r="G43" s="13"/>
      <c r="H43" s="15"/>
      <c r="I43" s="13"/>
    </row>
    <row r="44" spans="1:9" ht="12.75" customHeight="1">
      <c r="A44" s="24" t="s">
        <v>12</v>
      </c>
      <c r="B44" s="7" t="s">
        <v>4</v>
      </c>
      <c r="C44" s="13"/>
      <c r="D44" s="13"/>
      <c r="E44" s="13"/>
      <c r="F44" s="26"/>
      <c r="G44" s="13"/>
      <c r="H44" s="26"/>
      <c r="I44" s="13"/>
    </row>
    <row r="45" spans="1:9" ht="12.75" customHeight="1">
      <c r="A45" s="2" t="s">
        <v>193</v>
      </c>
      <c r="B45" s="7" t="s">
        <v>4</v>
      </c>
      <c r="C45" s="10">
        <v>2314</v>
      </c>
      <c r="D45" s="10"/>
      <c r="E45" s="10">
        <v>2376</v>
      </c>
      <c r="F45" s="15"/>
      <c r="G45" s="10">
        <v>10048</v>
      </c>
      <c r="H45" s="15"/>
      <c r="I45" s="10">
        <v>9792</v>
      </c>
    </row>
    <row r="46" spans="1:9" ht="12.75" customHeight="1">
      <c r="A46" s="2" t="s">
        <v>194</v>
      </c>
      <c r="B46" s="7" t="s">
        <v>4</v>
      </c>
      <c r="C46" s="10">
        <v>750</v>
      </c>
      <c r="D46" s="10"/>
      <c r="E46" s="10">
        <v>789</v>
      </c>
      <c r="F46" s="15"/>
      <c r="G46" s="10">
        <v>3201</v>
      </c>
      <c r="H46" s="15"/>
      <c r="I46" s="10">
        <v>3001</v>
      </c>
    </row>
    <row r="47" spans="1:9" ht="12.75" customHeight="1">
      <c r="A47" s="2" t="s">
        <v>195</v>
      </c>
      <c r="B47" s="7" t="s">
        <v>4</v>
      </c>
      <c r="C47" s="10">
        <v>762</v>
      </c>
      <c r="D47" s="10"/>
      <c r="E47" s="10">
        <v>681</v>
      </c>
      <c r="F47" s="15"/>
      <c r="G47" s="10">
        <v>2927</v>
      </c>
      <c r="H47" s="15"/>
      <c r="I47" s="107">
        <v>2788</v>
      </c>
    </row>
    <row r="48" spans="1:9" ht="12.75" customHeight="1">
      <c r="A48" s="2" t="s">
        <v>199</v>
      </c>
      <c r="B48" s="7"/>
      <c r="C48" s="10">
        <v>202</v>
      </c>
      <c r="D48" s="10"/>
      <c r="E48" s="10">
        <v>92</v>
      </c>
      <c r="F48" s="15"/>
      <c r="G48" s="10">
        <v>1186</v>
      </c>
      <c r="H48" s="15"/>
      <c r="I48" s="107">
        <v>180</v>
      </c>
    </row>
    <row r="49" spans="1:9" ht="12.75" customHeight="1">
      <c r="A49" s="2" t="s">
        <v>196</v>
      </c>
      <c r="B49" s="7"/>
      <c r="C49" s="10">
        <v>159</v>
      </c>
      <c r="D49" s="10"/>
      <c r="E49" s="10">
        <v>172</v>
      </c>
      <c r="F49" s="15"/>
      <c r="G49" s="10">
        <v>642</v>
      </c>
      <c r="H49" s="15"/>
      <c r="I49" s="107">
        <v>694</v>
      </c>
    </row>
    <row r="50" spans="1:9" ht="12.75" customHeight="1">
      <c r="A50" s="2" t="s">
        <v>197</v>
      </c>
      <c r="B50" s="7"/>
      <c r="C50" s="13">
        <v>94</v>
      </c>
      <c r="D50" s="13"/>
      <c r="E50" s="13">
        <v>94</v>
      </c>
      <c r="F50" s="26"/>
      <c r="G50" s="13">
        <v>377</v>
      </c>
      <c r="H50" s="26"/>
      <c r="I50" s="109">
        <v>377</v>
      </c>
    </row>
    <row r="51" spans="1:9" ht="12.75" customHeight="1">
      <c r="A51" s="2" t="s">
        <v>198</v>
      </c>
      <c r="B51" s="7" t="s">
        <v>4</v>
      </c>
      <c r="C51" s="23">
        <v>1243</v>
      </c>
      <c r="D51" s="10"/>
      <c r="E51" s="23">
        <v>1343</v>
      </c>
      <c r="F51" s="15"/>
      <c r="G51" s="23">
        <v>4937</v>
      </c>
      <c r="H51" s="15"/>
      <c r="I51" s="110">
        <v>5292</v>
      </c>
    </row>
    <row r="52" spans="1:9" ht="12.75" customHeight="1">
      <c r="A52" s="2" t="s">
        <v>32</v>
      </c>
      <c r="B52" s="7" t="s">
        <v>4</v>
      </c>
      <c r="C52" s="12">
        <v>5524</v>
      </c>
      <c r="D52" s="10"/>
      <c r="E52" s="12">
        <v>5547</v>
      </c>
      <c r="F52" s="15"/>
      <c r="G52" s="12">
        <v>23318</v>
      </c>
      <c r="H52" s="15"/>
      <c r="I52" s="111">
        <v>22124</v>
      </c>
    </row>
    <row r="53" spans="2:9" ht="12.75" customHeight="1">
      <c r="B53" s="7"/>
      <c r="C53" s="13"/>
      <c r="D53" s="10"/>
      <c r="E53" s="13"/>
      <c r="F53" s="15"/>
      <c r="G53" s="13"/>
      <c r="H53" s="15"/>
      <c r="I53" s="13"/>
    </row>
    <row r="54" spans="1:9" ht="12.75" customHeight="1">
      <c r="A54" s="2" t="s">
        <v>144</v>
      </c>
      <c r="B54" s="7" t="s">
        <v>4</v>
      </c>
      <c r="C54" s="10">
        <v>3035</v>
      </c>
      <c r="D54" s="10"/>
      <c r="E54" s="10">
        <v>2450</v>
      </c>
      <c r="F54" s="15"/>
      <c r="G54" s="10">
        <v>9335</v>
      </c>
      <c r="H54" s="15"/>
      <c r="I54" s="10">
        <v>11202</v>
      </c>
    </row>
    <row r="55" spans="1:9" ht="12.75" customHeight="1">
      <c r="A55" s="2" t="s">
        <v>145</v>
      </c>
      <c r="B55" s="7" t="s">
        <v>4</v>
      </c>
      <c r="C55" s="12">
        <v>866</v>
      </c>
      <c r="D55" s="10"/>
      <c r="E55" s="12">
        <v>767</v>
      </c>
      <c r="F55" s="15"/>
      <c r="G55" s="12">
        <v>2525</v>
      </c>
      <c r="H55" s="15"/>
      <c r="I55" s="12">
        <v>3181</v>
      </c>
    </row>
    <row r="56" spans="1:9" ht="12.75" customHeight="1" thickBot="1">
      <c r="A56" s="24" t="s">
        <v>205</v>
      </c>
      <c r="B56" s="7" t="s">
        <v>4</v>
      </c>
      <c r="C56" s="66">
        <v>2169</v>
      </c>
      <c r="D56" s="10"/>
      <c r="E56" s="66">
        <v>1683</v>
      </c>
      <c r="F56" s="15"/>
      <c r="G56" s="16">
        <v>6810</v>
      </c>
      <c r="H56" s="15"/>
      <c r="I56" s="16">
        <v>8021</v>
      </c>
    </row>
    <row r="57" spans="1:9" ht="12.75" customHeight="1" thickTop="1">
      <c r="A57" s="11"/>
      <c r="C57" s="10"/>
      <c r="E57" s="10"/>
      <c r="G57" s="10"/>
      <c r="I57" s="10"/>
    </row>
    <row r="58" spans="1:9" ht="12.75" customHeight="1">
      <c r="A58" s="25" t="s">
        <v>18</v>
      </c>
      <c r="B58" s="7" t="s">
        <v>4</v>
      </c>
      <c r="C58" s="13"/>
      <c r="D58" s="13"/>
      <c r="E58" s="13"/>
      <c r="F58" s="26"/>
      <c r="G58" s="13"/>
      <c r="H58" s="26"/>
      <c r="I58" s="13"/>
    </row>
    <row r="59" spans="1:9" ht="12.75" customHeight="1">
      <c r="A59" s="2" t="s">
        <v>33</v>
      </c>
      <c r="B59" s="7" t="s">
        <v>4</v>
      </c>
      <c r="C59" s="67">
        <v>0.36</v>
      </c>
      <c r="D59" s="107"/>
      <c r="E59" s="67">
        <v>0.28</v>
      </c>
      <c r="F59" s="27"/>
      <c r="G59" s="67">
        <v>1.12</v>
      </c>
      <c r="H59" s="22"/>
      <c r="I59" s="67">
        <v>1.32</v>
      </c>
    </row>
    <row r="60" spans="1:9" ht="12.75" customHeight="1">
      <c r="A60" s="2" t="s">
        <v>34</v>
      </c>
      <c r="B60" s="7" t="s">
        <v>4</v>
      </c>
      <c r="C60" s="67">
        <v>0.35</v>
      </c>
      <c r="D60" s="107"/>
      <c r="E60" s="67">
        <v>0.28</v>
      </c>
      <c r="F60" s="27"/>
      <c r="G60" s="67">
        <v>1.12</v>
      </c>
      <c r="H60" s="22"/>
      <c r="I60" s="67">
        <v>1.31</v>
      </c>
    </row>
    <row r="61" spans="1:11" ht="12.75" customHeight="1">
      <c r="A61" s="24" t="s">
        <v>19</v>
      </c>
      <c r="B61" s="15"/>
      <c r="K61" s="11"/>
    </row>
    <row r="62" spans="1:9" ht="12.75" customHeight="1">
      <c r="A62" s="2" t="s">
        <v>33</v>
      </c>
      <c r="B62" s="15"/>
      <c r="C62" s="10">
        <v>6108340</v>
      </c>
      <c r="D62" s="22"/>
      <c r="E62" s="10">
        <v>6086868</v>
      </c>
      <c r="G62" s="10">
        <v>6097810</v>
      </c>
      <c r="I62" s="10">
        <v>6096649</v>
      </c>
    </row>
    <row r="63" spans="1:9" ht="12.75" customHeight="1">
      <c r="A63" s="2" t="s">
        <v>34</v>
      </c>
      <c r="B63" s="15"/>
      <c r="C63" s="10">
        <v>6116800</v>
      </c>
      <c r="D63" s="22"/>
      <c r="E63" s="10">
        <v>6090844</v>
      </c>
      <c r="G63" s="10">
        <v>6102895</v>
      </c>
      <c r="I63" s="10">
        <v>6105154</v>
      </c>
    </row>
    <row r="64" ht="15">
      <c r="A64" s="106"/>
    </row>
    <row r="65" spans="7:9" ht="12.75">
      <c r="G65" s="10"/>
      <c r="I65" s="10"/>
    </row>
  </sheetData>
  <mergeCells count="4">
    <mergeCell ref="A4:I4"/>
    <mergeCell ref="A5:I5"/>
    <mergeCell ref="A2:I2"/>
    <mergeCell ref="A3:I3"/>
  </mergeCells>
  <printOptions horizontalCentered="1" verticalCentered="1"/>
  <pageMargins left="0.75" right="0.75" top="0.5" bottom="0.5" header="0.25" footer="0.2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18"/>
  <sheetViews>
    <sheetView showGridLines="0" zoomScaleSheetLayoutView="100" workbookViewId="0" topLeftCell="A1">
      <selection activeCell="A1" sqref="A1:AY1"/>
    </sheetView>
  </sheetViews>
  <sheetFormatPr defaultColWidth="9.140625" defaultRowHeight="12.75"/>
  <cols>
    <col min="1" max="1" width="3.00390625" style="2" customWidth="1"/>
    <col min="2" max="3" width="8.00390625" style="2" customWidth="1"/>
    <col min="4" max="4" width="23.00390625" style="2" customWidth="1"/>
    <col min="5" max="5" width="9.7109375" style="1" hidden="1" customWidth="1"/>
    <col min="6" max="6" width="2.140625" style="2" hidden="1" customWidth="1"/>
    <col min="7" max="7" width="10.28125" style="2" hidden="1" customWidth="1"/>
    <col min="8" max="8" width="2.7109375" style="2" hidden="1" customWidth="1"/>
    <col min="9" max="9" width="9.7109375" style="2" hidden="1" customWidth="1"/>
    <col min="10" max="10" width="2.140625" style="2" hidden="1" customWidth="1"/>
    <col min="11" max="11" width="3.57421875" style="2" hidden="1" customWidth="1"/>
    <col min="12" max="12" width="9.7109375" style="2" hidden="1" customWidth="1"/>
    <col min="13" max="13" width="2.140625" style="2" hidden="1" customWidth="1"/>
    <col min="14" max="14" width="9.7109375" style="2" hidden="1" customWidth="1"/>
    <col min="15" max="15" width="2.140625" style="2" hidden="1" customWidth="1"/>
    <col min="16" max="16" width="2.421875" style="148" hidden="1" customWidth="1"/>
    <col min="17" max="17" width="10.28125" style="27" hidden="1" customWidth="1"/>
    <col min="18" max="18" width="2.140625" style="27" hidden="1" customWidth="1"/>
    <col min="19" max="19" width="9.7109375" style="27" hidden="1" customWidth="1"/>
    <col min="20" max="20" width="2.140625" style="27" hidden="1" customWidth="1"/>
    <col min="21" max="21" width="10.28125" style="27" hidden="1" customWidth="1"/>
    <col min="22" max="22" width="2.140625" style="27" hidden="1" customWidth="1"/>
    <col min="23" max="23" width="3.57421875" style="27" hidden="1" customWidth="1"/>
    <col min="24" max="24" width="10.28125" style="27" hidden="1" customWidth="1"/>
    <col min="25" max="25" width="2.140625" style="27" hidden="1" customWidth="1"/>
    <col min="26" max="26" width="10.28125" style="27" hidden="1" customWidth="1"/>
    <col min="27" max="27" width="2.140625" style="2" hidden="1" customWidth="1"/>
    <col min="28" max="28" width="1.8515625" style="148" hidden="1" customWidth="1"/>
    <col min="29" max="29" width="10.28125" style="1" hidden="1" customWidth="1"/>
    <col min="30" max="30" width="2.7109375" style="2" hidden="1" customWidth="1"/>
    <col min="31" max="31" width="10.28125" style="27" hidden="1" customWidth="1"/>
    <col min="32" max="32" width="2.7109375" style="2" hidden="1" customWidth="1"/>
    <col min="33" max="33" width="10.28125" style="2" hidden="1" customWidth="1"/>
    <col min="34" max="34" width="2.7109375" style="2" hidden="1" customWidth="1"/>
    <col min="35" max="35" width="2.8515625" style="2" hidden="1" customWidth="1"/>
    <col min="36" max="36" width="10.28125" style="1" hidden="1" customWidth="1"/>
    <col min="37" max="37" width="2.7109375" style="2" hidden="1" customWidth="1"/>
    <col min="38" max="38" width="10.28125" style="2" hidden="1" customWidth="1"/>
    <col min="39" max="39" width="2.7109375" style="2" hidden="1" customWidth="1"/>
    <col min="40" max="40" width="2.140625" style="148" hidden="1" customWidth="1"/>
    <col min="41" max="41" width="10.28125" style="1" customWidth="1"/>
    <col min="42" max="42" width="2.7109375" style="2" customWidth="1"/>
    <col min="43" max="43" width="10.28125" style="2" customWidth="1"/>
    <col min="44" max="44" width="2.7109375" style="2" customWidth="1"/>
    <col min="45" max="45" width="10.28125" style="2" customWidth="1"/>
    <col min="46" max="46" width="2.7109375" style="2" customWidth="1"/>
    <col min="47" max="47" width="3.7109375" style="2" customWidth="1"/>
    <col min="48" max="48" width="10.28125" style="1" customWidth="1"/>
    <col min="49" max="49" width="2.7109375" style="2" customWidth="1"/>
    <col min="50" max="50" width="10.28125" style="2" customWidth="1"/>
    <col min="51" max="51" width="2.7109375" style="2" customWidth="1"/>
    <col min="52" max="52" width="6.57421875" style="4" customWidth="1"/>
    <col min="53" max="53" width="2.8515625" style="2" customWidth="1"/>
    <col min="54" max="16384" width="8.00390625" style="2" customWidth="1"/>
  </cols>
  <sheetData>
    <row r="1" spans="1:51" ht="18">
      <c r="A1" s="172" t="s">
        <v>139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</row>
    <row r="2" spans="1:51" ht="15.75">
      <c r="A2" s="181" t="s">
        <v>57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</row>
    <row r="3" spans="29:43" ht="12.75">
      <c r="AC3" s="57"/>
      <c r="AD3" s="27"/>
      <c r="AF3" s="27"/>
      <c r="AG3" s="27"/>
      <c r="AH3" s="27"/>
      <c r="AI3" s="27"/>
      <c r="AJ3" s="57"/>
      <c r="AQ3" s="27"/>
    </row>
    <row r="4" spans="2:43" ht="12.75">
      <c r="B4" s="2" t="s">
        <v>182</v>
      </c>
      <c r="AC4" s="57"/>
      <c r="AD4" s="27"/>
      <c r="AF4" s="27"/>
      <c r="AG4" s="27"/>
      <c r="AH4" s="27"/>
      <c r="AI4" s="27"/>
      <c r="AJ4" s="57"/>
      <c r="AQ4" s="27"/>
    </row>
    <row r="5" spans="2:60" ht="12.75">
      <c r="B5" s="2" t="s">
        <v>181</v>
      </c>
      <c r="E5" s="149" t="s">
        <v>226</v>
      </c>
      <c r="G5" s="29" t="s">
        <v>227</v>
      </c>
      <c r="H5" s="29"/>
      <c r="I5" s="52" t="s">
        <v>226</v>
      </c>
      <c r="L5" s="150" t="s">
        <v>207</v>
      </c>
      <c r="N5" s="29" t="s">
        <v>207</v>
      </c>
      <c r="Q5" s="68" t="s">
        <v>208</v>
      </c>
      <c r="S5" s="69" t="s">
        <v>226</v>
      </c>
      <c r="U5" s="69" t="s">
        <v>208</v>
      </c>
      <c r="X5" s="70" t="s">
        <v>207</v>
      </c>
      <c r="Y5" s="71"/>
      <c r="Z5" s="71" t="s">
        <v>207</v>
      </c>
      <c r="AC5" s="68" t="s">
        <v>211</v>
      </c>
      <c r="AD5" s="27"/>
      <c r="AE5" s="69" t="s">
        <v>208</v>
      </c>
      <c r="AF5" s="27"/>
      <c r="AG5" s="69" t="s">
        <v>211</v>
      </c>
      <c r="AH5" s="27"/>
      <c r="AI5" s="27"/>
      <c r="AJ5" s="70" t="s">
        <v>207</v>
      </c>
      <c r="AL5" s="29" t="s">
        <v>207</v>
      </c>
      <c r="AO5" s="150" t="s">
        <v>227</v>
      </c>
      <c r="AP5" s="29"/>
      <c r="AQ5" s="69" t="s">
        <v>211</v>
      </c>
      <c r="AS5" s="29" t="s">
        <v>227</v>
      </c>
      <c r="AV5" s="150" t="s">
        <v>207</v>
      </c>
      <c r="AW5" s="29"/>
      <c r="AX5" s="29" t="s">
        <v>207</v>
      </c>
      <c r="BC5" s="170"/>
      <c r="BD5" s="170"/>
      <c r="BE5" s="170"/>
      <c r="BF5" s="170"/>
      <c r="BG5" s="170"/>
      <c r="BH5" s="170"/>
    </row>
    <row r="6" spans="5:53" ht="12.75">
      <c r="E6" s="151">
        <v>2009</v>
      </c>
      <c r="F6" s="29"/>
      <c r="G6" s="82">
        <v>2008</v>
      </c>
      <c r="H6" s="29"/>
      <c r="I6" s="82">
        <v>2008</v>
      </c>
      <c r="J6" s="29"/>
      <c r="K6" s="29"/>
      <c r="L6" s="151">
        <v>2009</v>
      </c>
      <c r="M6" s="29"/>
      <c r="N6" s="82">
        <v>2008</v>
      </c>
      <c r="O6" s="29"/>
      <c r="P6" s="152"/>
      <c r="Q6" s="72">
        <v>2009</v>
      </c>
      <c r="R6" s="71"/>
      <c r="S6" s="73">
        <v>2009</v>
      </c>
      <c r="T6" s="71"/>
      <c r="U6" s="73">
        <v>2008</v>
      </c>
      <c r="V6" s="71"/>
      <c r="X6" s="72">
        <v>2009</v>
      </c>
      <c r="Y6" s="73"/>
      <c r="Z6" s="73">
        <v>2008</v>
      </c>
      <c r="AA6" s="82"/>
      <c r="AC6" s="72">
        <v>2009</v>
      </c>
      <c r="AD6" s="71"/>
      <c r="AE6" s="73">
        <v>2009</v>
      </c>
      <c r="AF6" s="71"/>
      <c r="AG6" s="73">
        <v>2008</v>
      </c>
      <c r="AH6" s="71"/>
      <c r="AI6" s="27"/>
      <c r="AJ6" s="72">
        <v>2009</v>
      </c>
      <c r="AK6" s="82"/>
      <c r="AL6" s="82">
        <v>2008</v>
      </c>
      <c r="AM6" s="82"/>
      <c r="AO6" s="151">
        <v>2009</v>
      </c>
      <c r="AP6" s="29"/>
      <c r="AQ6" s="73">
        <v>2009</v>
      </c>
      <c r="AR6" s="29"/>
      <c r="AS6" s="82">
        <v>2008</v>
      </c>
      <c r="AT6" s="29"/>
      <c r="AV6" s="151">
        <v>2009</v>
      </c>
      <c r="AW6" s="82"/>
      <c r="AX6" s="82">
        <v>2008</v>
      </c>
      <c r="AY6" s="82"/>
      <c r="AZ6" s="52"/>
      <c r="BA6" s="29"/>
    </row>
    <row r="7" spans="1:53" ht="12.75">
      <c r="A7" s="1" t="s">
        <v>58</v>
      </c>
      <c r="E7" s="153"/>
      <c r="F7" s="31"/>
      <c r="G7" s="31"/>
      <c r="H7" s="31"/>
      <c r="I7" s="31"/>
      <c r="J7" s="31"/>
      <c r="K7" s="31"/>
      <c r="L7" s="31"/>
      <c r="M7" s="31"/>
      <c r="N7" s="31"/>
      <c r="O7" s="31"/>
      <c r="P7" s="154"/>
      <c r="Q7" s="61"/>
      <c r="R7" s="35"/>
      <c r="S7" s="35"/>
      <c r="T7" s="35"/>
      <c r="U7" s="35"/>
      <c r="V7" s="35"/>
      <c r="W7" s="35"/>
      <c r="X7" s="61"/>
      <c r="Y7" s="35"/>
      <c r="Z7" s="35"/>
      <c r="AA7" s="31"/>
      <c r="AC7" s="61"/>
      <c r="AD7" s="35"/>
      <c r="AE7" s="35"/>
      <c r="AF7" s="35"/>
      <c r="AG7" s="35"/>
      <c r="AH7" s="35"/>
      <c r="AI7" s="35"/>
      <c r="AJ7" s="61"/>
      <c r="AK7" s="31"/>
      <c r="AL7" s="31"/>
      <c r="AM7" s="31"/>
      <c r="AO7" s="153"/>
      <c r="AP7" s="31"/>
      <c r="AQ7" s="35"/>
      <c r="AR7" s="31"/>
      <c r="AS7" s="31"/>
      <c r="AT7" s="31"/>
      <c r="AU7" s="31"/>
      <c r="AV7" s="153"/>
      <c r="AW7" s="31"/>
      <c r="AX7" s="31"/>
      <c r="AY7" s="31"/>
      <c r="AZ7" s="155"/>
      <c r="BA7" s="31"/>
    </row>
    <row r="8" spans="2:53" ht="12.75">
      <c r="B8" s="2" t="s">
        <v>59</v>
      </c>
      <c r="E8" s="56">
        <v>9650</v>
      </c>
      <c r="F8" s="21"/>
      <c r="G8" s="21">
        <v>10225</v>
      </c>
      <c r="H8" s="21"/>
      <c r="I8" s="21">
        <v>11260</v>
      </c>
      <c r="J8" s="21"/>
      <c r="K8" s="21"/>
      <c r="L8" s="56">
        <v>9650</v>
      </c>
      <c r="M8" s="21"/>
      <c r="N8" s="21">
        <v>11260</v>
      </c>
      <c r="O8" s="21"/>
      <c r="P8" s="154"/>
      <c r="Q8" s="156">
        <v>9690</v>
      </c>
      <c r="R8" s="74"/>
      <c r="S8" s="36">
        <v>9650</v>
      </c>
      <c r="T8" s="74"/>
      <c r="U8" s="74">
        <v>10788</v>
      </c>
      <c r="V8" s="36"/>
      <c r="W8" s="35"/>
      <c r="X8" s="56">
        <v>19340</v>
      </c>
      <c r="Y8" s="36"/>
      <c r="Z8" s="36">
        <v>22048</v>
      </c>
      <c r="AA8" s="31"/>
      <c r="AC8" s="56">
        <v>9464</v>
      </c>
      <c r="AD8" s="36"/>
      <c r="AE8" s="74">
        <v>9690</v>
      </c>
      <c r="AF8" s="36"/>
      <c r="AG8" s="36">
        <v>10599</v>
      </c>
      <c r="AH8" s="36"/>
      <c r="AI8" s="35"/>
      <c r="AJ8" s="56">
        <v>28804</v>
      </c>
      <c r="AK8" s="21"/>
      <c r="AL8" s="21">
        <v>32647</v>
      </c>
      <c r="AM8" s="31"/>
      <c r="AO8" s="56">
        <v>9257</v>
      </c>
      <c r="AP8" s="36"/>
      <c r="AQ8" s="36">
        <v>9464</v>
      </c>
      <c r="AR8" s="36"/>
      <c r="AS8" s="36">
        <v>10225</v>
      </c>
      <c r="AT8" s="36"/>
      <c r="AU8" s="35"/>
      <c r="AV8" s="56">
        <v>38061</v>
      </c>
      <c r="AW8" s="21"/>
      <c r="AX8" s="21">
        <v>42872</v>
      </c>
      <c r="AY8" s="31"/>
      <c r="AZ8" s="157"/>
      <c r="BA8" s="31"/>
    </row>
    <row r="9" spans="2:53" ht="12.75">
      <c r="B9" s="2" t="s">
        <v>60</v>
      </c>
      <c r="E9" s="61">
        <v>3237</v>
      </c>
      <c r="F9" s="31"/>
      <c r="G9" s="15">
        <v>3503</v>
      </c>
      <c r="H9" s="31"/>
      <c r="I9" s="31">
        <v>4535</v>
      </c>
      <c r="J9" s="31"/>
      <c r="K9" s="31"/>
      <c r="L9" s="61">
        <v>3237</v>
      </c>
      <c r="M9" s="31"/>
      <c r="N9" s="31">
        <v>4535</v>
      </c>
      <c r="O9" s="31"/>
      <c r="P9" s="154"/>
      <c r="Q9" s="158">
        <v>2781</v>
      </c>
      <c r="R9" s="75"/>
      <c r="S9" s="35">
        <v>3237</v>
      </c>
      <c r="T9" s="75"/>
      <c r="U9" s="75">
        <v>4058</v>
      </c>
      <c r="V9" s="35"/>
      <c r="W9" s="35"/>
      <c r="X9" s="61">
        <v>6018</v>
      </c>
      <c r="Y9" s="35"/>
      <c r="Z9" s="35">
        <v>8593</v>
      </c>
      <c r="AA9" s="31"/>
      <c r="AC9" s="61">
        <v>2464</v>
      </c>
      <c r="AD9" s="35"/>
      <c r="AE9" s="75">
        <v>2781</v>
      </c>
      <c r="AF9" s="35"/>
      <c r="AG9" s="35">
        <v>3743</v>
      </c>
      <c r="AH9" s="35"/>
      <c r="AI9" s="35"/>
      <c r="AJ9" s="61">
        <v>8482</v>
      </c>
      <c r="AK9" s="31"/>
      <c r="AL9" s="31">
        <v>12336</v>
      </c>
      <c r="AM9" s="31"/>
      <c r="AO9" s="61">
        <v>2307</v>
      </c>
      <c r="AP9" s="35"/>
      <c r="AQ9" s="35">
        <v>2464</v>
      </c>
      <c r="AR9" s="35"/>
      <c r="AS9" s="35">
        <v>3503</v>
      </c>
      <c r="AT9" s="35"/>
      <c r="AU9" s="35"/>
      <c r="AV9" s="61">
        <v>10789</v>
      </c>
      <c r="AW9" s="31"/>
      <c r="AX9" s="31">
        <v>15839</v>
      </c>
      <c r="AY9" s="31"/>
      <c r="AZ9" s="157"/>
      <c r="BA9" s="31"/>
    </row>
    <row r="10" spans="2:53" ht="12.75">
      <c r="B10" s="2" t="s">
        <v>61</v>
      </c>
      <c r="E10" s="61">
        <v>6413</v>
      </c>
      <c r="F10" s="31"/>
      <c r="G10" s="15">
        <v>6722</v>
      </c>
      <c r="H10" s="31"/>
      <c r="I10" s="31">
        <f>+I8-I9</f>
        <v>6725</v>
      </c>
      <c r="J10" s="31"/>
      <c r="K10" s="31"/>
      <c r="L10" s="61">
        <v>6413</v>
      </c>
      <c r="M10" s="31"/>
      <c r="N10" s="31">
        <f>+N8-N9</f>
        <v>6725</v>
      </c>
      <c r="O10" s="31"/>
      <c r="P10" s="154"/>
      <c r="Q10" s="159">
        <f>+Q8-Q9</f>
        <v>6909</v>
      </c>
      <c r="R10" s="76"/>
      <c r="S10" s="35">
        <v>6413</v>
      </c>
      <c r="T10" s="76"/>
      <c r="U10" s="76">
        <f>+U8-U9</f>
        <v>6730</v>
      </c>
      <c r="V10" s="35"/>
      <c r="W10" s="35"/>
      <c r="X10" s="61">
        <f>+X8-X9</f>
        <v>13322</v>
      </c>
      <c r="Y10" s="35"/>
      <c r="Z10" s="35">
        <f>+Z8-Z9</f>
        <v>13455</v>
      </c>
      <c r="AA10" s="31"/>
      <c r="AC10" s="61">
        <f>+AC8-AC9</f>
        <v>7000</v>
      </c>
      <c r="AD10" s="35"/>
      <c r="AE10" s="76">
        <f>+AE8-AE9</f>
        <v>6909</v>
      </c>
      <c r="AF10" s="35"/>
      <c r="AG10" s="35">
        <f>+AG8-AG9</f>
        <v>6856</v>
      </c>
      <c r="AH10" s="35"/>
      <c r="AI10" s="35"/>
      <c r="AJ10" s="61">
        <f>+AJ8-AJ9</f>
        <v>20322</v>
      </c>
      <c r="AK10" s="31"/>
      <c r="AL10" s="31">
        <f>+AL8-AL9</f>
        <v>20311</v>
      </c>
      <c r="AM10" s="31"/>
      <c r="AO10" s="61">
        <f>+AO8-AO9</f>
        <v>6950</v>
      </c>
      <c r="AP10" s="35"/>
      <c r="AQ10" s="35">
        <f>+AQ8-AQ9</f>
        <v>7000</v>
      </c>
      <c r="AR10" s="35"/>
      <c r="AS10" s="35">
        <f>+AS8-AS9</f>
        <v>6722</v>
      </c>
      <c r="AT10" s="35"/>
      <c r="AU10" s="35"/>
      <c r="AV10" s="61">
        <f>+AV8-AV9</f>
        <v>27272</v>
      </c>
      <c r="AW10" s="31"/>
      <c r="AX10" s="31">
        <f>+AX8-AX9</f>
        <v>27033</v>
      </c>
      <c r="AY10" s="31"/>
      <c r="AZ10" s="157"/>
      <c r="BA10" s="31" t="s">
        <v>228</v>
      </c>
    </row>
    <row r="11" spans="2:52" ht="12.75">
      <c r="B11" s="2" t="s">
        <v>62</v>
      </c>
      <c r="E11" s="61">
        <v>350</v>
      </c>
      <c r="F11" s="31"/>
      <c r="G11" s="15">
        <v>600</v>
      </c>
      <c r="H11" s="31"/>
      <c r="I11" s="31">
        <v>140</v>
      </c>
      <c r="J11" s="31"/>
      <c r="K11" s="31"/>
      <c r="L11" s="61">
        <v>350</v>
      </c>
      <c r="M11" s="31"/>
      <c r="N11" s="31">
        <v>140</v>
      </c>
      <c r="O11" s="31"/>
      <c r="P11" s="154"/>
      <c r="Q11" s="160">
        <v>492</v>
      </c>
      <c r="R11" s="75"/>
      <c r="S11" s="35">
        <v>350</v>
      </c>
      <c r="T11" s="75"/>
      <c r="U11" s="77">
        <v>600</v>
      </c>
      <c r="V11" s="35"/>
      <c r="W11" s="35"/>
      <c r="X11" s="61">
        <v>842</v>
      </c>
      <c r="Y11" s="35"/>
      <c r="Z11" s="35">
        <v>740</v>
      </c>
      <c r="AA11" s="31"/>
      <c r="AC11" s="55">
        <v>492</v>
      </c>
      <c r="AD11" s="35"/>
      <c r="AE11" s="77">
        <v>492</v>
      </c>
      <c r="AF11" s="35"/>
      <c r="AG11" s="37">
        <v>280</v>
      </c>
      <c r="AH11" s="35"/>
      <c r="AI11" s="35"/>
      <c r="AJ11" s="61">
        <v>1334</v>
      </c>
      <c r="AK11" s="31"/>
      <c r="AL11" s="31">
        <v>1020</v>
      </c>
      <c r="AM11" s="31"/>
      <c r="AO11" s="61">
        <v>328</v>
      </c>
      <c r="AP11" s="35"/>
      <c r="AQ11" s="37">
        <v>492</v>
      </c>
      <c r="AR11" s="35"/>
      <c r="AS11" s="35">
        <v>600</v>
      </c>
      <c r="AT11" s="35"/>
      <c r="AU11" s="35"/>
      <c r="AV11" s="61">
        <v>1662</v>
      </c>
      <c r="AW11" s="31"/>
      <c r="AX11" s="31">
        <v>1620</v>
      </c>
      <c r="AY11" s="31"/>
      <c r="AZ11" s="157"/>
    </row>
    <row r="12" spans="2:52" ht="12.75">
      <c r="B12" s="2" t="s">
        <v>63</v>
      </c>
      <c r="E12" s="61">
        <v>734</v>
      </c>
      <c r="F12" s="31"/>
      <c r="G12" s="15">
        <v>1875</v>
      </c>
      <c r="H12" s="31"/>
      <c r="I12" s="31">
        <v>2135</v>
      </c>
      <c r="J12" s="31"/>
      <c r="K12" s="31"/>
      <c r="L12" s="61">
        <v>734</v>
      </c>
      <c r="M12" s="31"/>
      <c r="N12" s="31">
        <v>2135</v>
      </c>
      <c r="O12" s="31"/>
      <c r="P12" s="154"/>
      <c r="Q12" s="158">
        <v>2253</v>
      </c>
      <c r="R12" s="75"/>
      <c r="S12" s="35">
        <v>734</v>
      </c>
      <c r="T12" s="75"/>
      <c r="U12" s="75">
        <v>1841</v>
      </c>
      <c r="V12" s="35"/>
      <c r="W12" s="35"/>
      <c r="X12" s="61">
        <v>2987</v>
      </c>
      <c r="Y12" s="35"/>
      <c r="Z12" s="35">
        <v>3976</v>
      </c>
      <c r="AA12" s="31"/>
      <c r="AC12" s="61">
        <v>2119</v>
      </c>
      <c r="AD12" s="35"/>
      <c r="AE12" s="75">
        <v>2253</v>
      </c>
      <c r="AF12" s="35"/>
      <c r="AG12" s="35">
        <v>2062</v>
      </c>
      <c r="AH12" s="35"/>
      <c r="AI12" s="35"/>
      <c r="AJ12" s="61">
        <v>5106</v>
      </c>
      <c r="AK12" s="31"/>
      <c r="AL12" s="31">
        <v>6038</v>
      </c>
      <c r="AM12" s="31"/>
      <c r="AO12" s="61">
        <v>1937</v>
      </c>
      <c r="AP12" s="35"/>
      <c r="AQ12" s="35">
        <v>2119</v>
      </c>
      <c r="AR12" s="35"/>
      <c r="AS12" s="35">
        <v>1875</v>
      </c>
      <c r="AT12" s="35"/>
      <c r="AU12" s="35"/>
      <c r="AV12" s="61">
        <v>7043</v>
      </c>
      <c r="AW12" s="31"/>
      <c r="AX12" s="31">
        <v>7913</v>
      </c>
      <c r="AY12" s="31"/>
      <c r="AZ12" s="157"/>
    </row>
    <row r="13" spans="2:52" ht="12.75">
      <c r="B13" s="2" t="s">
        <v>64</v>
      </c>
      <c r="E13" s="61">
        <v>5875</v>
      </c>
      <c r="F13" s="31"/>
      <c r="G13" s="26">
        <v>5547</v>
      </c>
      <c r="H13" s="31"/>
      <c r="I13" s="31">
        <v>5449</v>
      </c>
      <c r="J13" s="31"/>
      <c r="K13" s="31"/>
      <c r="L13" s="61">
        <v>5875</v>
      </c>
      <c r="M13" s="31"/>
      <c r="N13" s="31">
        <v>5449</v>
      </c>
      <c r="O13" s="31"/>
      <c r="P13" s="154"/>
      <c r="Q13" s="158">
        <v>6321</v>
      </c>
      <c r="R13" s="75"/>
      <c r="S13" s="35">
        <v>5875</v>
      </c>
      <c r="T13" s="75"/>
      <c r="U13" s="75">
        <v>5643</v>
      </c>
      <c r="V13" s="35"/>
      <c r="W13" s="35"/>
      <c r="X13" s="61">
        <v>12196</v>
      </c>
      <c r="Y13" s="35"/>
      <c r="Z13" s="35">
        <v>11092</v>
      </c>
      <c r="AA13" s="31"/>
      <c r="AC13" s="61">
        <v>5598</v>
      </c>
      <c r="AD13" s="35"/>
      <c r="AE13" s="75">
        <v>6321</v>
      </c>
      <c r="AF13" s="35"/>
      <c r="AG13" s="35">
        <v>5485</v>
      </c>
      <c r="AH13" s="35"/>
      <c r="AI13" s="35"/>
      <c r="AJ13" s="61">
        <v>17794</v>
      </c>
      <c r="AK13" s="31"/>
      <c r="AL13" s="31">
        <v>16577</v>
      </c>
      <c r="AM13" s="31"/>
      <c r="AO13" s="61">
        <v>5524</v>
      </c>
      <c r="AP13" s="35"/>
      <c r="AQ13" s="35">
        <v>5598</v>
      </c>
      <c r="AR13" s="35"/>
      <c r="AS13" s="35">
        <v>5547</v>
      </c>
      <c r="AT13" s="35"/>
      <c r="AU13" s="35"/>
      <c r="AV13" s="61">
        <v>23318</v>
      </c>
      <c r="AW13" s="31"/>
      <c r="AX13" s="31">
        <v>22124</v>
      </c>
      <c r="AY13" s="31"/>
      <c r="AZ13" s="157"/>
    </row>
    <row r="14" spans="2:52" ht="12.75">
      <c r="B14" s="2" t="s">
        <v>65</v>
      </c>
      <c r="E14" s="61">
        <v>154</v>
      </c>
      <c r="F14" s="31"/>
      <c r="G14" s="26">
        <v>767</v>
      </c>
      <c r="H14" s="31"/>
      <c r="I14" s="31">
        <v>966</v>
      </c>
      <c r="J14" s="31"/>
      <c r="K14" s="31"/>
      <c r="L14" s="61">
        <v>154</v>
      </c>
      <c r="M14" s="31"/>
      <c r="N14" s="31">
        <v>966</v>
      </c>
      <c r="O14" s="31"/>
      <c r="P14" s="154"/>
      <c r="Q14" s="158">
        <v>643</v>
      </c>
      <c r="R14" s="75"/>
      <c r="S14" s="35">
        <v>154</v>
      </c>
      <c r="T14" s="75"/>
      <c r="U14" s="75">
        <v>519</v>
      </c>
      <c r="V14" s="35"/>
      <c r="W14" s="35"/>
      <c r="X14" s="61">
        <v>797</v>
      </c>
      <c r="Y14" s="35"/>
      <c r="Z14" s="35">
        <v>1485</v>
      </c>
      <c r="AA14" s="31"/>
      <c r="AC14" s="61">
        <v>862</v>
      </c>
      <c r="AD14" s="35"/>
      <c r="AE14" s="75">
        <v>643</v>
      </c>
      <c r="AF14" s="35"/>
      <c r="AG14" s="35">
        <v>929</v>
      </c>
      <c r="AH14" s="35"/>
      <c r="AI14" s="35"/>
      <c r="AJ14" s="61">
        <v>1659</v>
      </c>
      <c r="AK14" s="31"/>
      <c r="AL14" s="31">
        <v>2414</v>
      </c>
      <c r="AM14" s="31"/>
      <c r="AO14" s="61">
        <v>866</v>
      </c>
      <c r="AP14" s="35"/>
      <c r="AQ14" s="35">
        <v>862</v>
      </c>
      <c r="AR14" s="35"/>
      <c r="AS14" s="35">
        <v>767</v>
      </c>
      <c r="AT14" s="35"/>
      <c r="AU14" s="35"/>
      <c r="AV14" s="61">
        <v>2525</v>
      </c>
      <c r="AW14" s="31"/>
      <c r="AX14" s="31">
        <v>3181</v>
      </c>
      <c r="AY14" s="31"/>
      <c r="AZ14" s="157"/>
    </row>
    <row r="15" spans="2:53" ht="12.75">
      <c r="B15" s="2" t="s">
        <v>66</v>
      </c>
      <c r="E15" s="61">
        <f>+E10-E11+E12-E13-E14</f>
        <v>768</v>
      </c>
      <c r="F15" s="31"/>
      <c r="G15" s="26">
        <f>+G10-G11+G12-G13-G14</f>
        <v>1683</v>
      </c>
      <c r="H15" s="31"/>
      <c r="I15" s="31">
        <f>+I10-I11+I12-I13-I14</f>
        <v>2305</v>
      </c>
      <c r="J15" s="31"/>
      <c r="K15" s="31"/>
      <c r="L15" s="61">
        <f>+L10-L11+L12-L13-L14</f>
        <v>768</v>
      </c>
      <c r="M15" s="31"/>
      <c r="N15" s="31">
        <f>+N10-N11+N12-N13-N14</f>
        <v>2305</v>
      </c>
      <c r="O15" s="31"/>
      <c r="P15" s="154"/>
      <c r="Q15" s="159">
        <f>+Q10-Q11+Q12-Q13-Q14</f>
        <v>1706</v>
      </c>
      <c r="R15" s="76"/>
      <c r="S15" s="35">
        <f>+S10-S11+S12-S13-S14</f>
        <v>768</v>
      </c>
      <c r="T15" s="76"/>
      <c r="U15" s="76">
        <f>+U10-U11+U12-U13-U14</f>
        <v>1809</v>
      </c>
      <c r="V15" s="35"/>
      <c r="W15" s="35"/>
      <c r="X15" s="61">
        <f>+X10-X11+X12-X13-X14</f>
        <v>2474</v>
      </c>
      <c r="Y15" s="35"/>
      <c r="Z15" s="35">
        <f>+Z10-Z11+Z12-Z13-Z14</f>
        <v>4114</v>
      </c>
      <c r="AA15" s="31"/>
      <c r="AC15" s="61">
        <f>+AC10-AC11+AC12-AC13-AC14</f>
        <v>2167</v>
      </c>
      <c r="AD15" s="35"/>
      <c r="AE15" s="76">
        <f>+AE10-AE11+AE12-AE13-AE14</f>
        <v>1706</v>
      </c>
      <c r="AF15" s="35"/>
      <c r="AG15" s="35">
        <f>+AG10-AG11+AG12-AG13-AG14</f>
        <v>2224</v>
      </c>
      <c r="AH15" s="35"/>
      <c r="AI15" s="35"/>
      <c r="AJ15" s="61">
        <f>+AJ10-AJ11+AJ12-AJ13-AJ14</f>
        <v>4641</v>
      </c>
      <c r="AK15" s="31"/>
      <c r="AL15" s="31">
        <f>+AL10-AL11+AL12-AL13-AL14</f>
        <v>6338</v>
      </c>
      <c r="AM15" s="31"/>
      <c r="AO15" s="61">
        <f>+AO10-AO11+AO12-AO13-AO14</f>
        <v>2169</v>
      </c>
      <c r="AP15" s="35"/>
      <c r="AQ15" s="35">
        <f>+AQ10-AQ11+AQ12-AQ13-AQ14</f>
        <v>2167</v>
      </c>
      <c r="AR15" s="35"/>
      <c r="AS15" s="35">
        <f>+AS10-AS11+AS12-AS13-AS14</f>
        <v>1683</v>
      </c>
      <c r="AT15" s="35"/>
      <c r="AU15" s="35"/>
      <c r="AV15" s="61">
        <f>+AV10-AV11+AV12-AV13-AV14</f>
        <v>6810</v>
      </c>
      <c r="AW15" s="31"/>
      <c r="AX15" s="31">
        <f>+AX10-AX11+AX12-AX13-AX14</f>
        <v>8021</v>
      </c>
      <c r="AY15" s="31"/>
      <c r="AZ15" s="157"/>
      <c r="BA15" s="2" t="s">
        <v>228</v>
      </c>
    </row>
    <row r="16" spans="5:52" ht="12.75">
      <c r="E16" s="61"/>
      <c r="F16" s="31"/>
      <c r="G16" s="155"/>
      <c r="H16" s="31"/>
      <c r="I16" s="31"/>
      <c r="J16" s="31"/>
      <c r="K16" s="31"/>
      <c r="L16" s="61"/>
      <c r="M16" s="31"/>
      <c r="N16" s="31"/>
      <c r="O16" s="31"/>
      <c r="P16" s="154"/>
      <c r="Q16" s="158"/>
      <c r="R16" s="75"/>
      <c r="S16" s="35"/>
      <c r="T16" s="75"/>
      <c r="U16" s="75"/>
      <c r="V16" s="35"/>
      <c r="W16" s="35"/>
      <c r="X16" s="61"/>
      <c r="Y16" s="35"/>
      <c r="Z16" s="35"/>
      <c r="AA16" s="31"/>
      <c r="AC16" s="61"/>
      <c r="AD16" s="35"/>
      <c r="AE16" s="75"/>
      <c r="AF16" s="35"/>
      <c r="AG16" s="35"/>
      <c r="AH16" s="35"/>
      <c r="AI16" s="35"/>
      <c r="AJ16" s="61"/>
      <c r="AK16" s="31"/>
      <c r="AL16" s="31"/>
      <c r="AM16" s="31"/>
      <c r="AO16" s="61"/>
      <c r="AP16" s="35"/>
      <c r="AQ16" s="35"/>
      <c r="AR16" s="35"/>
      <c r="AS16" s="35"/>
      <c r="AT16" s="35"/>
      <c r="AU16" s="35"/>
      <c r="AV16" s="61"/>
      <c r="AW16" s="31"/>
      <c r="AX16" s="31"/>
      <c r="AY16" s="31"/>
      <c r="AZ16" s="155"/>
    </row>
    <row r="17" spans="1:52" ht="12.75">
      <c r="A17" s="58" t="s">
        <v>67</v>
      </c>
      <c r="E17" s="61"/>
      <c r="F17" s="31"/>
      <c r="G17" s="31"/>
      <c r="H17" s="31"/>
      <c r="I17" s="31"/>
      <c r="J17" s="31"/>
      <c r="K17" s="31"/>
      <c r="L17" s="61"/>
      <c r="M17" s="31"/>
      <c r="N17" s="31"/>
      <c r="O17" s="31"/>
      <c r="P17" s="154"/>
      <c r="Q17" s="158"/>
      <c r="R17" s="75"/>
      <c r="S17" s="35"/>
      <c r="T17" s="75"/>
      <c r="U17" s="75"/>
      <c r="V17" s="35"/>
      <c r="W17" s="35"/>
      <c r="X17" s="61"/>
      <c r="Y17" s="35"/>
      <c r="Z17" s="35"/>
      <c r="AA17" s="31"/>
      <c r="AC17" s="61"/>
      <c r="AD17" s="35"/>
      <c r="AE17" s="75"/>
      <c r="AF17" s="35"/>
      <c r="AG17" s="35"/>
      <c r="AH17" s="35"/>
      <c r="AI17" s="35"/>
      <c r="AJ17" s="61"/>
      <c r="AK17" s="31"/>
      <c r="AL17" s="31"/>
      <c r="AM17" s="31"/>
      <c r="AO17" s="61"/>
      <c r="AP17" s="35"/>
      <c r="AQ17" s="35"/>
      <c r="AR17" s="35"/>
      <c r="AS17" s="35"/>
      <c r="AT17" s="35"/>
      <c r="AU17" s="35"/>
      <c r="AV17" s="61"/>
      <c r="AW17" s="31"/>
      <c r="AX17" s="31"/>
      <c r="AY17" s="31"/>
      <c r="AZ17" s="155"/>
    </row>
    <row r="18" spans="2:52" ht="12.75">
      <c r="B18" s="2" t="s">
        <v>68</v>
      </c>
      <c r="E18" s="62">
        <v>0.13</v>
      </c>
      <c r="F18" s="22"/>
      <c r="G18" s="22">
        <v>0.28</v>
      </c>
      <c r="H18" s="22"/>
      <c r="I18" s="22">
        <v>0.38</v>
      </c>
      <c r="J18" s="22"/>
      <c r="K18" s="22"/>
      <c r="L18" s="62">
        <v>0.13</v>
      </c>
      <c r="M18" s="22"/>
      <c r="N18" s="22">
        <v>0.38</v>
      </c>
      <c r="O18" s="22"/>
      <c r="P18" s="154"/>
      <c r="Q18" s="161">
        <v>0.28</v>
      </c>
      <c r="R18" s="78"/>
      <c r="S18" s="67">
        <v>0.13</v>
      </c>
      <c r="T18" s="78"/>
      <c r="U18" s="78">
        <v>0.3</v>
      </c>
      <c r="V18" s="67"/>
      <c r="W18" s="35"/>
      <c r="X18" s="62">
        <v>0.41</v>
      </c>
      <c r="Y18" s="67"/>
      <c r="Z18" s="67">
        <v>0.67</v>
      </c>
      <c r="AA18" s="31"/>
      <c r="AC18" s="62">
        <v>0.36</v>
      </c>
      <c r="AD18" s="67"/>
      <c r="AE18" s="78">
        <v>0.28</v>
      </c>
      <c r="AF18" s="67"/>
      <c r="AG18" s="67">
        <v>0.36</v>
      </c>
      <c r="AH18" s="67"/>
      <c r="AI18" s="35"/>
      <c r="AJ18" s="62">
        <v>0.76</v>
      </c>
      <c r="AK18" s="22"/>
      <c r="AL18" s="22">
        <v>1.04</v>
      </c>
      <c r="AM18" s="31"/>
      <c r="AO18" s="62">
        <v>0.36</v>
      </c>
      <c r="AP18" s="67"/>
      <c r="AQ18" s="67">
        <v>0.36</v>
      </c>
      <c r="AR18" s="67"/>
      <c r="AS18" s="67">
        <v>0.28</v>
      </c>
      <c r="AT18" s="67"/>
      <c r="AU18" s="35"/>
      <c r="AV18" s="62">
        <v>1.12</v>
      </c>
      <c r="AW18" s="22"/>
      <c r="AX18" s="22">
        <v>1.32</v>
      </c>
      <c r="AY18" s="31"/>
      <c r="AZ18" s="157"/>
    </row>
    <row r="19" spans="2:52" ht="12.75">
      <c r="B19" s="27" t="s">
        <v>69</v>
      </c>
      <c r="C19" s="27"/>
      <c r="D19" s="27"/>
      <c r="E19" s="53">
        <v>0.13</v>
      </c>
      <c r="F19" s="83"/>
      <c r="G19" s="83">
        <v>0.28</v>
      </c>
      <c r="H19" s="83"/>
      <c r="I19" s="83">
        <v>0.38</v>
      </c>
      <c r="J19" s="83"/>
      <c r="K19" s="83"/>
      <c r="L19" s="53">
        <v>0.13</v>
      </c>
      <c r="M19" s="83"/>
      <c r="N19" s="83">
        <v>0.38</v>
      </c>
      <c r="O19" s="83"/>
      <c r="P19" s="154"/>
      <c r="Q19" s="162">
        <v>0.28</v>
      </c>
      <c r="R19" s="79"/>
      <c r="S19" s="32">
        <v>0.13</v>
      </c>
      <c r="T19" s="79"/>
      <c r="U19" s="79">
        <v>0.3</v>
      </c>
      <c r="V19" s="32"/>
      <c r="W19" s="35"/>
      <c r="X19" s="53">
        <v>0.41</v>
      </c>
      <c r="Y19" s="32"/>
      <c r="Z19" s="32">
        <v>0.67</v>
      </c>
      <c r="AA19" s="31"/>
      <c r="AC19" s="53">
        <v>0.35</v>
      </c>
      <c r="AD19" s="32"/>
      <c r="AE19" s="79">
        <v>0.28</v>
      </c>
      <c r="AF19" s="32"/>
      <c r="AG19" s="32">
        <v>0.36</v>
      </c>
      <c r="AH19" s="32"/>
      <c r="AI19" s="35"/>
      <c r="AJ19" s="53">
        <v>0.76</v>
      </c>
      <c r="AK19" s="83"/>
      <c r="AL19" s="83">
        <v>1.04</v>
      </c>
      <c r="AM19" s="31"/>
      <c r="AO19" s="53">
        <v>0.35</v>
      </c>
      <c r="AP19" s="32"/>
      <c r="AQ19" s="32">
        <v>0.35</v>
      </c>
      <c r="AR19" s="32"/>
      <c r="AS19" s="32">
        <v>0.28</v>
      </c>
      <c r="AT19" s="32"/>
      <c r="AU19" s="35"/>
      <c r="AV19" s="53">
        <v>1.12</v>
      </c>
      <c r="AW19" s="83"/>
      <c r="AX19" s="83">
        <v>1.31</v>
      </c>
      <c r="AY19" s="31"/>
      <c r="AZ19" s="157"/>
    </row>
    <row r="20" spans="2:52" ht="12.75">
      <c r="B20" s="27" t="s">
        <v>70</v>
      </c>
      <c r="C20" s="27"/>
      <c r="D20" s="27"/>
      <c r="E20" s="53">
        <v>0.23</v>
      </c>
      <c r="F20" s="163"/>
      <c r="G20" s="83">
        <v>0.23</v>
      </c>
      <c r="H20" s="83"/>
      <c r="I20" s="83">
        <v>0.23</v>
      </c>
      <c r="J20" s="83"/>
      <c r="K20" s="83"/>
      <c r="L20" s="53">
        <v>0.23</v>
      </c>
      <c r="M20" s="83"/>
      <c r="N20" s="83">
        <v>0.23</v>
      </c>
      <c r="O20" s="83"/>
      <c r="P20" s="154"/>
      <c r="Q20" s="162">
        <v>0.23</v>
      </c>
      <c r="R20" s="79"/>
      <c r="S20" s="32">
        <v>0.23</v>
      </c>
      <c r="T20" s="79"/>
      <c r="U20" s="79">
        <v>0.23</v>
      </c>
      <c r="V20" s="32"/>
      <c r="W20" s="35"/>
      <c r="X20" s="53">
        <v>0.46</v>
      </c>
      <c r="Y20" s="32"/>
      <c r="Z20" s="32">
        <v>0.46</v>
      </c>
      <c r="AA20" s="31"/>
      <c r="AC20" s="53">
        <v>0.23</v>
      </c>
      <c r="AD20" s="32"/>
      <c r="AE20" s="79">
        <v>0.23</v>
      </c>
      <c r="AF20" s="32"/>
      <c r="AG20" s="32">
        <v>0.23</v>
      </c>
      <c r="AH20" s="32"/>
      <c r="AI20" s="35"/>
      <c r="AJ20" s="53">
        <v>0.69</v>
      </c>
      <c r="AK20" s="83"/>
      <c r="AL20" s="83">
        <v>0.69</v>
      </c>
      <c r="AM20" s="31"/>
      <c r="AO20" s="53">
        <v>0.23</v>
      </c>
      <c r="AP20" s="32"/>
      <c r="AQ20" s="32">
        <v>0.23</v>
      </c>
      <c r="AR20" s="32"/>
      <c r="AS20" s="32">
        <v>0.23</v>
      </c>
      <c r="AT20" s="32"/>
      <c r="AU20" s="35"/>
      <c r="AV20" s="53">
        <v>0.92</v>
      </c>
      <c r="AW20" s="83"/>
      <c r="AX20" s="83">
        <v>0.92</v>
      </c>
      <c r="AY20" s="31"/>
      <c r="AZ20" s="157"/>
    </row>
    <row r="21" spans="2:52" ht="12.75">
      <c r="B21" s="27" t="s">
        <v>71</v>
      </c>
      <c r="C21" s="27"/>
      <c r="D21" s="27"/>
      <c r="E21" s="53">
        <v>16.76</v>
      </c>
      <c r="F21" s="83"/>
      <c r="G21" s="32">
        <v>16.81</v>
      </c>
      <c r="H21" s="32"/>
      <c r="I21" s="83">
        <v>16.86</v>
      </c>
      <c r="J21" s="83"/>
      <c r="K21" s="83"/>
      <c r="L21" s="53">
        <v>16.76</v>
      </c>
      <c r="M21" s="83"/>
      <c r="N21" s="83">
        <v>16.86</v>
      </c>
      <c r="O21" s="83"/>
      <c r="P21" s="154"/>
      <c r="Q21" s="53">
        <v>16.82</v>
      </c>
      <c r="R21" s="32"/>
      <c r="S21" s="32">
        <v>16.76</v>
      </c>
      <c r="T21" s="32"/>
      <c r="U21" s="32">
        <v>16.71</v>
      </c>
      <c r="V21" s="32"/>
      <c r="W21" s="35"/>
      <c r="X21" s="53">
        <v>16.82</v>
      </c>
      <c r="Y21" s="32"/>
      <c r="Z21" s="32">
        <v>16.71</v>
      </c>
      <c r="AA21" s="31"/>
      <c r="AC21" s="53">
        <v>17.18</v>
      </c>
      <c r="AD21" s="32"/>
      <c r="AE21" s="32">
        <v>16.82</v>
      </c>
      <c r="AF21" s="32"/>
      <c r="AG21" s="32">
        <v>16.86</v>
      </c>
      <c r="AH21" s="32"/>
      <c r="AI21" s="35"/>
      <c r="AJ21" s="53">
        <v>17.18</v>
      </c>
      <c r="AK21" s="83"/>
      <c r="AL21" s="83">
        <v>16.86</v>
      </c>
      <c r="AM21" s="31"/>
      <c r="AO21" s="53">
        <v>17.41</v>
      </c>
      <c r="AP21" s="32"/>
      <c r="AQ21" s="32">
        <v>17.18</v>
      </c>
      <c r="AR21" s="32"/>
      <c r="AS21" s="32">
        <v>16.81</v>
      </c>
      <c r="AT21" s="32"/>
      <c r="AU21" s="35"/>
      <c r="AV21" s="53">
        <v>17.41</v>
      </c>
      <c r="AW21" s="83"/>
      <c r="AX21" s="83">
        <v>16.81</v>
      </c>
      <c r="AY21" s="31"/>
      <c r="AZ21" s="157"/>
    </row>
    <row r="22" spans="2:52" ht="12.75">
      <c r="B22" s="27" t="s">
        <v>72</v>
      </c>
      <c r="C22" s="27"/>
      <c r="D22" s="27"/>
      <c r="E22" s="53">
        <v>12.74</v>
      </c>
      <c r="F22" s="83"/>
      <c r="G22" s="32">
        <v>12.78</v>
      </c>
      <c r="H22" s="32"/>
      <c r="I22" s="32">
        <v>12.79</v>
      </c>
      <c r="J22" s="83"/>
      <c r="K22" s="83"/>
      <c r="L22" s="53">
        <v>12.74</v>
      </c>
      <c r="M22" s="83"/>
      <c r="N22" s="32">
        <v>12.79</v>
      </c>
      <c r="O22" s="83"/>
      <c r="P22" s="154"/>
      <c r="Q22" s="53">
        <v>12.83</v>
      </c>
      <c r="R22" s="32"/>
      <c r="S22" s="32">
        <v>12.74</v>
      </c>
      <c r="T22" s="32"/>
      <c r="U22" s="32">
        <v>12.65</v>
      </c>
      <c r="V22" s="32"/>
      <c r="W22" s="35"/>
      <c r="X22" s="53">
        <v>12.83</v>
      </c>
      <c r="Y22" s="32"/>
      <c r="Z22" s="32">
        <v>12.65</v>
      </c>
      <c r="AA22" s="31"/>
      <c r="AC22" s="53">
        <v>13.2</v>
      </c>
      <c r="AD22" s="32"/>
      <c r="AE22" s="32">
        <v>12.83</v>
      </c>
      <c r="AF22" s="32"/>
      <c r="AG22" s="32">
        <v>12.82</v>
      </c>
      <c r="AH22" s="32"/>
      <c r="AI22" s="35"/>
      <c r="AJ22" s="53">
        <v>13.2</v>
      </c>
      <c r="AK22" s="83"/>
      <c r="AL22" s="32">
        <v>12.82</v>
      </c>
      <c r="AM22" s="31"/>
      <c r="AO22" s="53">
        <v>13.46</v>
      </c>
      <c r="AP22" s="32"/>
      <c r="AQ22" s="32">
        <v>13.2</v>
      </c>
      <c r="AR22" s="32"/>
      <c r="AS22" s="32">
        <v>12.78</v>
      </c>
      <c r="AT22" s="32"/>
      <c r="AU22" s="35"/>
      <c r="AV22" s="53">
        <v>13.46</v>
      </c>
      <c r="AW22" s="83"/>
      <c r="AX22" s="32">
        <v>12.78</v>
      </c>
      <c r="AY22" s="31"/>
      <c r="AZ22" s="157"/>
    </row>
    <row r="23" spans="2:52" ht="12.75">
      <c r="B23" s="27" t="s">
        <v>73</v>
      </c>
      <c r="C23" s="27"/>
      <c r="D23" s="27"/>
      <c r="E23" s="53">
        <v>15.6</v>
      </c>
      <c r="F23" s="83"/>
      <c r="G23" s="32">
        <v>17</v>
      </c>
      <c r="H23" s="32"/>
      <c r="I23" s="83">
        <v>21.26</v>
      </c>
      <c r="J23" s="83"/>
      <c r="K23" s="83"/>
      <c r="L23" s="53">
        <v>15.6</v>
      </c>
      <c r="M23" s="83"/>
      <c r="N23" s="83">
        <v>21.26</v>
      </c>
      <c r="O23" s="83"/>
      <c r="P23" s="154"/>
      <c r="Q23" s="53">
        <v>19.25</v>
      </c>
      <c r="R23" s="32"/>
      <c r="S23" s="32">
        <v>15.6</v>
      </c>
      <c r="T23" s="32"/>
      <c r="U23" s="32">
        <v>18.25</v>
      </c>
      <c r="V23" s="32"/>
      <c r="W23" s="35"/>
      <c r="X23" s="53">
        <v>19.25</v>
      </c>
      <c r="Y23" s="32"/>
      <c r="Z23" s="32">
        <v>18.25</v>
      </c>
      <c r="AA23" s="31"/>
      <c r="AC23" s="53">
        <v>21.82</v>
      </c>
      <c r="AD23" s="32"/>
      <c r="AE23" s="32">
        <v>19.25</v>
      </c>
      <c r="AF23" s="32"/>
      <c r="AG23" s="32">
        <v>18</v>
      </c>
      <c r="AH23" s="32"/>
      <c r="AI23" s="35"/>
      <c r="AJ23" s="53">
        <v>21.82</v>
      </c>
      <c r="AK23" s="83"/>
      <c r="AL23" s="83">
        <v>18</v>
      </c>
      <c r="AM23" s="31"/>
      <c r="AO23" s="53">
        <v>21.9</v>
      </c>
      <c r="AP23" s="32"/>
      <c r="AQ23" s="32">
        <v>21.82</v>
      </c>
      <c r="AR23" s="32"/>
      <c r="AS23" s="32">
        <v>17</v>
      </c>
      <c r="AT23" s="32"/>
      <c r="AU23" s="35"/>
      <c r="AV23" s="53">
        <v>21.9</v>
      </c>
      <c r="AW23" s="83"/>
      <c r="AX23" s="83">
        <v>17</v>
      </c>
      <c r="AY23" s="31"/>
      <c r="AZ23" s="157"/>
    </row>
    <row r="24" spans="2:52" ht="12.75">
      <c r="B24" s="27"/>
      <c r="C24" s="27"/>
      <c r="D24" s="27"/>
      <c r="E24" s="61"/>
      <c r="F24" s="31"/>
      <c r="G24" s="31"/>
      <c r="H24" s="31"/>
      <c r="I24" s="31"/>
      <c r="J24" s="31"/>
      <c r="K24" s="31"/>
      <c r="L24" s="61"/>
      <c r="M24" s="31"/>
      <c r="N24" s="31"/>
      <c r="O24" s="31"/>
      <c r="P24" s="154"/>
      <c r="Q24" s="61"/>
      <c r="R24" s="35"/>
      <c r="S24" s="35"/>
      <c r="T24" s="35"/>
      <c r="U24" s="35"/>
      <c r="V24" s="35"/>
      <c r="W24" s="35"/>
      <c r="X24" s="61"/>
      <c r="Y24" s="35"/>
      <c r="Z24" s="35"/>
      <c r="AA24" s="31"/>
      <c r="AC24" s="61"/>
      <c r="AD24" s="35"/>
      <c r="AE24" s="35"/>
      <c r="AF24" s="35"/>
      <c r="AG24" s="35"/>
      <c r="AH24" s="35"/>
      <c r="AI24" s="35"/>
      <c r="AJ24" s="61"/>
      <c r="AK24" s="31"/>
      <c r="AL24" s="31"/>
      <c r="AM24" s="31"/>
      <c r="AO24" s="61"/>
      <c r="AP24" s="35"/>
      <c r="AQ24" s="35"/>
      <c r="AR24" s="35"/>
      <c r="AS24" s="35"/>
      <c r="AT24" s="35"/>
      <c r="AU24" s="35"/>
      <c r="AV24" s="61"/>
      <c r="AW24" s="31"/>
      <c r="AX24" s="31"/>
      <c r="AY24" s="31"/>
      <c r="AZ24" s="155"/>
    </row>
    <row r="25" spans="1:52" ht="12.75">
      <c r="A25" s="1" t="s">
        <v>74</v>
      </c>
      <c r="B25" s="27"/>
      <c r="C25" s="27"/>
      <c r="D25" s="27"/>
      <c r="E25" s="61"/>
      <c r="F25" s="31"/>
      <c r="G25" s="31"/>
      <c r="H25" s="31"/>
      <c r="I25" s="31"/>
      <c r="J25" s="31"/>
      <c r="K25" s="31"/>
      <c r="L25" s="61"/>
      <c r="M25" s="31"/>
      <c r="N25" s="31"/>
      <c r="O25" s="31"/>
      <c r="P25" s="154"/>
      <c r="Q25" s="61"/>
      <c r="R25" s="35"/>
      <c r="S25" s="35"/>
      <c r="T25" s="35"/>
      <c r="U25" s="35"/>
      <c r="V25" s="35"/>
      <c r="W25" s="35"/>
      <c r="X25" s="61"/>
      <c r="Y25" s="35"/>
      <c r="Z25" s="35"/>
      <c r="AA25" s="31"/>
      <c r="AC25" s="61"/>
      <c r="AD25" s="35"/>
      <c r="AE25" s="35"/>
      <c r="AF25" s="35"/>
      <c r="AG25" s="35"/>
      <c r="AH25" s="35"/>
      <c r="AI25" s="35"/>
      <c r="AJ25" s="61"/>
      <c r="AK25" s="31"/>
      <c r="AL25" s="31"/>
      <c r="AM25" s="31"/>
      <c r="AO25" s="61"/>
      <c r="AP25" s="35"/>
      <c r="AQ25" s="35"/>
      <c r="AR25" s="35"/>
      <c r="AS25" s="35"/>
      <c r="AT25" s="35"/>
      <c r="AU25" s="35"/>
      <c r="AV25" s="61"/>
      <c r="AW25" s="31"/>
      <c r="AX25" s="31"/>
      <c r="AY25" s="31"/>
      <c r="AZ25" s="155"/>
    </row>
    <row r="26" spans="2:52" ht="12.75">
      <c r="B26" s="27" t="s">
        <v>75</v>
      </c>
      <c r="C26" s="27"/>
      <c r="D26" s="27"/>
      <c r="E26" s="54">
        <v>0.38</v>
      </c>
      <c r="F26" s="34" t="s">
        <v>35</v>
      </c>
      <c r="G26" s="33">
        <v>0.86</v>
      </c>
      <c r="H26" s="34" t="s">
        <v>35</v>
      </c>
      <c r="I26" s="33">
        <v>1.18</v>
      </c>
      <c r="J26" s="34" t="s">
        <v>35</v>
      </c>
      <c r="K26" s="34"/>
      <c r="L26" s="54">
        <v>0.38</v>
      </c>
      <c r="M26" s="34" t="s">
        <v>35</v>
      </c>
      <c r="N26" s="33">
        <v>1.18</v>
      </c>
      <c r="O26" s="34" t="s">
        <v>35</v>
      </c>
      <c r="P26" s="164"/>
      <c r="Q26" s="54">
        <v>0.84</v>
      </c>
      <c r="R26" s="33" t="s">
        <v>35</v>
      </c>
      <c r="S26" s="33">
        <v>0.38</v>
      </c>
      <c r="T26" s="33" t="s">
        <v>35</v>
      </c>
      <c r="U26" s="33">
        <v>0.92</v>
      </c>
      <c r="V26" s="33" t="s">
        <v>35</v>
      </c>
      <c r="W26" s="33"/>
      <c r="X26" s="54">
        <v>0.61</v>
      </c>
      <c r="Y26" s="33" t="s">
        <v>35</v>
      </c>
      <c r="Z26" s="33">
        <v>1.05</v>
      </c>
      <c r="AA26" s="34" t="s">
        <v>35</v>
      </c>
      <c r="AC26" s="54">
        <v>1.07</v>
      </c>
      <c r="AD26" s="33" t="s">
        <v>35</v>
      </c>
      <c r="AE26" s="33">
        <v>0.84</v>
      </c>
      <c r="AF26" s="33" t="s">
        <v>35</v>
      </c>
      <c r="AG26" s="33">
        <v>1.13</v>
      </c>
      <c r="AH26" s="33" t="s">
        <v>35</v>
      </c>
      <c r="AI26" s="33"/>
      <c r="AJ26" s="54">
        <v>0.77</v>
      </c>
      <c r="AK26" s="34" t="s">
        <v>35</v>
      </c>
      <c r="AL26" s="33">
        <v>1.08</v>
      </c>
      <c r="AM26" s="34" t="s">
        <v>35</v>
      </c>
      <c r="AO26" s="54">
        <v>1.07</v>
      </c>
      <c r="AP26" s="33" t="s">
        <v>35</v>
      </c>
      <c r="AQ26" s="33">
        <v>1.07</v>
      </c>
      <c r="AR26" s="33" t="s">
        <v>35</v>
      </c>
      <c r="AS26" s="33">
        <v>0.86</v>
      </c>
      <c r="AT26" s="33" t="s">
        <v>35</v>
      </c>
      <c r="AU26" s="33"/>
      <c r="AV26" s="54">
        <v>0.84</v>
      </c>
      <c r="AW26" s="34" t="s">
        <v>35</v>
      </c>
      <c r="AX26" s="33">
        <v>1.02</v>
      </c>
      <c r="AY26" s="34" t="s">
        <v>35</v>
      </c>
      <c r="AZ26" s="155"/>
    </row>
    <row r="27" spans="2:52" ht="12.75">
      <c r="B27" s="27" t="s">
        <v>76</v>
      </c>
      <c r="C27" s="27"/>
      <c r="D27" s="27"/>
      <c r="E27" s="54">
        <v>2.99</v>
      </c>
      <c r="F27" s="34"/>
      <c r="G27" s="33">
        <v>6.53</v>
      </c>
      <c r="H27" s="34"/>
      <c r="I27" s="33">
        <v>9.01</v>
      </c>
      <c r="J27" s="34"/>
      <c r="K27" s="34"/>
      <c r="L27" s="54">
        <v>2.99</v>
      </c>
      <c r="M27" s="34"/>
      <c r="N27" s="33">
        <v>9.01</v>
      </c>
      <c r="O27" s="34"/>
      <c r="P27" s="164"/>
      <c r="Q27" s="54">
        <v>6.63</v>
      </c>
      <c r="R27" s="33"/>
      <c r="S27" s="33">
        <v>2.99</v>
      </c>
      <c r="T27" s="33"/>
      <c r="U27" s="33">
        <v>7.06</v>
      </c>
      <c r="V27" s="33"/>
      <c r="W27" s="33"/>
      <c r="X27" s="54">
        <v>4.81</v>
      </c>
      <c r="Y27" s="33"/>
      <c r="Z27" s="33">
        <v>8.03</v>
      </c>
      <c r="AA27" s="31"/>
      <c r="AC27" s="54">
        <v>8.38</v>
      </c>
      <c r="AD27" s="33"/>
      <c r="AE27" s="33">
        <v>6.63</v>
      </c>
      <c r="AF27" s="33"/>
      <c r="AG27" s="33">
        <v>8.72</v>
      </c>
      <c r="AH27" s="33"/>
      <c r="AI27" s="33"/>
      <c r="AJ27" s="54">
        <v>6</v>
      </c>
      <c r="AK27" s="34"/>
      <c r="AL27" s="33">
        <v>8.26</v>
      </c>
      <c r="AM27" s="31"/>
      <c r="AO27" s="54">
        <v>8.24</v>
      </c>
      <c r="AP27" s="33"/>
      <c r="AQ27" s="33">
        <v>8.38</v>
      </c>
      <c r="AR27" s="33"/>
      <c r="AS27" s="33">
        <v>6.53</v>
      </c>
      <c r="AT27" s="33"/>
      <c r="AU27" s="33"/>
      <c r="AV27" s="54">
        <v>6.57</v>
      </c>
      <c r="AW27" s="34"/>
      <c r="AX27" s="33">
        <v>7.79</v>
      </c>
      <c r="AY27" s="31"/>
      <c r="AZ27" s="155"/>
    </row>
    <row r="28" spans="2:52" ht="12.75">
      <c r="B28" s="27" t="s">
        <v>77</v>
      </c>
      <c r="C28" s="27"/>
      <c r="D28" s="27"/>
      <c r="E28" s="54">
        <v>4.32</v>
      </c>
      <c r="F28" s="34"/>
      <c r="G28" s="33">
        <v>8.9</v>
      </c>
      <c r="H28" s="34"/>
      <c r="I28" s="33">
        <v>12.24</v>
      </c>
      <c r="J28" s="34"/>
      <c r="K28" s="34"/>
      <c r="L28" s="54">
        <v>4.32</v>
      </c>
      <c r="M28" s="34"/>
      <c r="N28" s="33">
        <v>12.24</v>
      </c>
      <c r="O28" s="34"/>
      <c r="P28" s="164"/>
      <c r="Q28" s="54">
        <v>9.05</v>
      </c>
      <c r="R28" s="33"/>
      <c r="S28" s="33">
        <v>4.32</v>
      </c>
      <c r="T28" s="33"/>
      <c r="U28" s="33">
        <v>9.69</v>
      </c>
      <c r="V28" s="33"/>
      <c r="W28" s="33"/>
      <c r="X28" s="54">
        <v>6.86</v>
      </c>
      <c r="Y28" s="33"/>
      <c r="Z28" s="33">
        <v>10.96</v>
      </c>
      <c r="AA28" s="31"/>
      <c r="AC28" s="54">
        <v>11.3</v>
      </c>
      <c r="AD28" s="33"/>
      <c r="AE28" s="33">
        <v>9.05</v>
      </c>
      <c r="AF28" s="33"/>
      <c r="AG28" s="33">
        <v>11.84</v>
      </c>
      <c r="AH28" s="33"/>
      <c r="AI28" s="33"/>
      <c r="AJ28" s="54">
        <v>8.22</v>
      </c>
      <c r="AK28" s="34"/>
      <c r="AL28" s="33">
        <v>11.25</v>
      </c>
      <c r="AM28" s="31"/>
      <c r="AO28" s="54">
        <v>11.03</v>
      </c>
      <c r="AP28" s="33"/>
      <c r="AQ28" s="33">
        <v>11.3</v>
      </c>
      <c r="AR28" s="33"/>
      <c r="AS28" s="33">
        <v>8.9</v>
      </c>
      <c r="AT28" s="33"/>
      <c r="AU28" s="33"/>
      <c r="AV28" s="54">
        <v>8.94</v>
      </c>
      <c r="AW28" s="34"/>
      <c r="AX28" s="33">
        <v>10.6</v>
      </c>
      <c r="AY28" s="31"/>
      <c r="AZ28" s="155"/>
    </row>
    <row r="29" spans="2:52" ht="12.75">
      <c r="B29" s="27" t="s">
        <v>78</v>
      </c>
      <c r="C29" s="27"/>
      <c r="D29" s="27"/>
      <c r="E29" s="54">
        <v>12.8</v>
      </c>
      <c r="F29" s="34"/>
      <c r="G29" s="33">
        <v>13.13</v>
      </c>
      <c r="H29" s="34"/>
      <c r="I29" s="33">
        <v>13.12</v>
      </c>
      <c r="J29" s="34"/>
      <c r="K29" s="34"/>
      <c r="L29" s="54">
        <v>12.8</v>
      </c>
      <c r="M29" s="34"/>
      <c r="N29" s="33">
        <v>13.12</v>
      </c>
      <c r="O29" s="34"/>
      <c r="P29" s="164"/>
      <c r="Q29" s="54">
        <v>12.66</v>
      </c>
      <c r="R29" s="33"/>
      <c r="S29" s="33">
        <v>12.8</v>
      </c>
      <c r="T29" s="33"/>
      <c r="U29" s="33">
        <v>12.99</v>
      </c>
      <c r="V29" s="33"/>
      <c r="W29" s="33"/>
      <c r="X29" s="54">
        <v>12.73</v>
      </c>
      <c r="Y29" s="33"/>
      <c r="Z29" s="33">
        <v>13.05</v>
      </c>
      <c r="AA29" s="31"/>
      <c r="AC29" s="54">
        <v>12.77</v>
      </c>
      <c r="AD29" s="33"/>
      <c r="AE29" s="33">
        <v>12.66</v>
      </c>
      <c r="AF29" s="33"/>
      <c r="AG29" s="33">
        <v>12.97</v>
      </c>
      <c r="AH29" s="33"/>
      <c r="AI29" s="33"/>
      <c r="AJ29" s="54">
        <v>12.74</v>
      </c>
      <c r="AK29" s="34"/>
      <c r="AL29" s="33">
        <v>13.02</v>
      </c>
      <c r="AM29" s="31"/>
      <c r="AO29" s="54">
        <v>12.93</v>
      </c>
      <c r="AP29" s="33"/>
      <c r="AQ29" s="33">
        <v>12.77</v>
      </c>
      <c r="AR29" s="33"/>
      <c r="AS29" s="33">
        <v>13.13</v>
      </c>
      <c r="AT29" s="33"/>
      <c r="AU29" s="33"/>
      <c r="AV29" s="54">
        <v>12.79</v>
      </c>
      <c r="AW29" s="34"/>
      <c r="AX29" s="33">
        <v>13.1</v>
      </c>
      <c r="AY29" s="31"/>
      <c r="AZ29" s="155"/>
    </row>
    <row r="30" spans="2:52" ht="12.75">
      <c r="B30" s="27" t="s">
        <v>134</v>
      </c>
      <c r="C30" s="27"/>
      <c r="D30" s="27"/>
      <c r="E30" s="54">
        <v>3.57</v>
      </c>
      <c r="F30" s="34"/>
      <c r="G30" s="33">
        <v>3.85</v>
      </c>
      <c r="H30" s="33"/>
      <c r="I30" s="33">
        <v>3.88</v>
      </c>
      <c r="J30" s="34"/>
      <c r="K30" s="34"/>
      <c r="L30" s="54">
        <v>3.57</v>
      </c>
      <c r="M30" s="34"/>
      <c r="N30" s="33">
        <v>3.88</v>
      </c>
      <c r="O30" s="34"/>
      <c r="P30" s="164"/>
      <c r="Q30" s="54">
        <v>3.84</v>
      </c>
      <c r="R30" s="33"/>
      <c r="S30" s="33">
        <v>3.57</v>
      </c>
      <c r="T30" s="33"/>
      <c r="U30" s="33">
        <v>3.83</v>
      </c>
      <c r="V30" s="33"/>
      <c r="W30" s="33"/>
      <c r="X30" s="54">
        <v>3.72</v>
      </c>
      <c r="Y30" s="33"/>
      <c r="Z30" s="33">
        <v>3.86</v>
      </c>
      <c r="AA30" s="34"/>
      <c r="AC30" s="54">
        <v>3.91</v>
      </c>
      <c r="AD30" s="33"/>
      <c r="AE30" s="33">
        <v>3.84</v>
      </c>
      <c r="AF30" s="33"/>
      <c r="AG30" s="33">
        <v>3.9</v>
      </c>
      <c r="AH30" s="33"/>
      <c r="AI30" s="33"/>
      <c r="AJ30" s="54">
        <v>3.79</v>
      </c>
      <c r="AK30" s="34"/>
      <c r="AL30" s="33">
        <v>3.87</v>
      </c>
      <c r="AM30" s="31"/>
      <c r="AO30" s="54">
        <v>3.88</v>
      </c>
      <c r="AP30" s="33"/>
      <c r="AQ30" s="33">
        <v>3.91</v>
      </c>
      <c r="AR30" s="33"/>
      <c r="AS30" s="33">
        <v>3.85</v>
      </c>
      <c r="AT30" s="33"/>
      <c r="AU30" s="33"/>
      <c r="AV30" s="54">
        <v>3.81</v>
      </c>
      <c r="AW30" s="33"/>
      <c r="AX30" s="33">
        <v>3.87</v>
      </c>
      <c r="AY30" s="35"/>
      <c r="AZ30" s="155"/>
    </row>
    <row r="31" spans="2:52" ht="12.75">
      <c r="B31" s="27" t="s">
        <v>79</v>
      </c>
      <c r="C31" s="27"/>
      <c r="D31" s="27"/>
      <c r="E31" s="54">
        <v>68.77</v>
      </c>
      <c r="F31" s="34"/>
      <c r="G31" s="33">
        <v>62.36</v>
      </c>
      <c r="H31" s="27"/>
      <c r="I31" s="33">
        <v>60.09</v>
      </c>
      <c r="J31" s="34"/>
      <c r="K31" s="34"/>
      <c r="L31" s="54">
        <v>68.77</v>
      </c>
      <c r="M31" s="34"/>
      <c r="N31" s="33">
        <v>60.09</v>
      </c>
      <c r="O31" s="34"/>
      <c r="Q31" s="54">
        <v>66.98</v>
      </c>
      <c r="R31" s="33"/>
      <c r="S31" s="33">
        <v>68.77</v>
      </c>
      <c r="T31" s="33"/>
      <c r="U31" s="33">
        <v>61.4</v>
      </c>
      <c r="V31" s="33"/>
      <c r="X31" s="54">
        <v>67.83</v>
      </c>
      <c r="Y31" s="33"/>
      <c r="Z31" s="33">
        <v>60.75</v>
      </c>
      <c r="AA31" s="34"/>
      <c r="AC31" s="54">
        <v>59.77</v>
      </c>
      <c r="AD31" s="27"/>
      <c r="AE31" s="33">
        <v>66.98</v>
      </c>
      <c r="AF31" s="27"/>
      <c r="AG31" s="33">
        <v>59.51</v>
      </c>
      <c r="AH31" s="27"/>
      <c r="AI31" s="27"/>
      <c r="AJ31" s="54">
        <v>65.07</v>
      </c>
      <c r="AL31" s="34">
        <v>60.33</v>
      </c>
      <c r="AO31" s="54">
        <v>58.79</v>
      </c>
      <c r="AP31" s="27"/>
      <c r="AQ31" s="33">
        <v>59.77</v>
      </c>
      <c r="AR31" s="27"/>
      <c r="AS31" s="33">
        <v>62.36</v>
      </c>
      <c r="AT31" s="27"/>
      <c r="AU31" s="27"/>
      <c r="AV31" s="54">
        <v>63.46</v>
      </c>
      <c r="AW31" s="27"/>
      <c r="AX31" s="33">
        <v>60.83</v>
      </c>
      <c r="AY31" s="27"/>
      <c r="AZ31" s="155"/>
    </row>
    <row r="32" spans="2:52" ht="12.75">
      <c r="B32" s="27" t="s">
        <v>146</v>
      </c>
      <c r="C32" s="27"/>
      <c r="D32" s="27"/>
      <c r="E32" s="54">
        <v>16.7</v>
      </c>
      <c r="F32" s="34"/>
      <c r="G32" s="33">
        <v>31.31</v>
      </c>
      <c r="H32" s="27"/>
      <c r="I32" s="33">
        <v>29.53</v>
      </c>
      <c r="J32" s="34"/>
      <c r="K32" s="34"/>
      <c r="L32" s="54">
        <v>16.7</v>
      </c>
      <c r="M32" s="34"/>
      <c r="N32" s="33">
        <v>29.53</v>
      </c>
      <c r="O32" s="34"/>
      <c r="Q32" s="54">
        <v>27.37</v>
      </c>
      <c r="R32" s="33"/>
      <c r="S32" s="33">
        <v>16.7</v>
      </c>
      <c r="T32" s="33"/>
      <c r="U32" s="33">
        <v>22.29</v>
      </c>
      <c r="V32" s="33"/>
      <c r="X32" s="54">
        <v>24.37</v>
      </c>
      <c r="Y32" s="33"/>
      <c r="Z32" s="33">
        <v>26.52</v>
      </c>
      <c r="AA32" s="34"/>
      <c r="AC32" s="54">
        <v>28.46</v>
      </c>
      <c r="AD32" s="27"/>
      <c r="AE32" s="33">
        <v>27.37</v>
      </c>
      <c r="AF32" s="27"/>
      <c r="AG32" s="33">
        <v>29.46</v>
      </c>
      <c r="AH32" s="27"/>
      <c r="AI32" s="27"/>
      <c r="AJ32" s="54">
        <v>26.33</v>
      </c>
      <c r="AL32" s="34">
        <v>27.58</v>
      </c>
      <c r="AO32" s="54">
        <v>28.53</v>
      </c>
      <c r="AP32" s="27"/>
      <c r="AQ32" s="33">
        <v>28.46</v>
      </c>
      <c r="AR32" s="27"/>
      <c r="AS32" s="33">
        <v>31.31</v>
      </c>
      <c r="AT32" s="27"/>
      <c r="AU32" s="27"/>
      <c r="AV32" s="54">
        <v>27.05</v>
      </c>
      <c r="AW32" s="27"/>
      <c r="AX32" s="33">
        <v>28.4</v>
      </c>
      <c r="AY32" s="27"/>
      <c r="AZ32" s="155"/>
    </row>
    <row r="33" spans="2:52" ht="12.75">
      <c r="B33" s="27"/>
      <c r="C33" s="27"/>
      <c r="D33" s="27"/>
      <c r="E33" s="61"/>
      <c r="F33" s="31"/>
      <c r="G33" s="31"/>
      <c r="H33" s="31"/>
      <c r="I33" s="31"/>
      <c r="J33" s="31"/>
      <c r="K33" s="31"/>
      <c r="L33" s="61"/>
      <c r="M33" s="31"/>
      <c r="N33" s="31"/>
      <c r="O33" s="31"/>
      <c r="P33" s="154"/>
      <c r="Q33" s="61"/>
      <c r="R33" s="35"/>
      <c r="S33" s="35"/>
      <c r="T33" s="35"/>
      <c r="U33" s="35"/>
      <c r="V33" s="35"/>
      <c r="W33" s="35"/>
      <c r="X33" s="61"/>
      <c r="Y33" s="35"/>
      <c r="Z33" s="35"/>
      <c r="AA33" s="31"/>
      <c r="AC33" s="61"/>
      <c r="AD33" s="35"/>
      <c r="AE33" s="35"/>
      <c r="AF33" s="35"/>
      <c r="AG33" s="35"/>
      <c r="AH33" s="35"/>
      <c r="AI33" s="35"/>
      <c r="AJ33" s="61"/>
      <c r="AK33" s="31"/>
      <c r="AL33" s="31"/>
      <c r="AM33" s="31"/>
      <c r="AO33" s="61"/>
      <c r="AP33" s="35"/>
      <c r="AQ33" s="35"/>
      <c r="AR33" s="35"/>
      <c r="AS33" s="35"/>
      <c r="AT33" s="35"/>
      <c r="AU33" s="35"/>
      <c r="AV33" s="61"/>
      <c r="AW33" s="31"/>
      <c r="AX33" s="31"/>
      <c r="AY33" s="31"/>
      <c r="AZ33" s="155"/>
    </row>
    <row r="34" spans="1:52" ht="12.75">
      <c r="A34" s="1" t="s">
        <v>156</v>
      </c>
      <c r="B34" s="27"/>
      <c r="C34" s="27"/>
      <c r="D34" s="27"/>
      <c r="E34" s="61"/>
      <c r="F34" s="31"/>
      <c r="G34" s="31"/>
      <c r="H34" s="31"/>
      <c r="I34" s="31"/>
      <c r="J34" s="31"/>
      <c r="K34" s="31"/>
      <c r="L34" s="61"/>
      <c r="M34" s="31"/>
      <c r="N34" s="31"/>
      <c r="O34" s="31"/>
      <c r="P34" s="154"/>
      <c r="Q34" s="61"/>
      <c r="R34" s="35"/>
      <c r="S34" s="35"/>
      <c r="T34" s="35"/>
      <c r="U34" s="35"/>
      <c r="V34" s="35"/>
      <c r="W34" s="35"/>
      <c r="X34" s="61"/>
      <c r="Y34" s="35"/>
      <c r="Z34" s="35"/>
      <c r="AA34" s="31"/>
      <c r="AC34" s="61"/>
      <c r="AD34" s="35"/>
      <c r="AE34" s="35"/>
      <c r="AF34" s="35"/>
      <c r="AG34" s="35"/>
      <c r="AH34" s="35"/>
      <c r="AI34" s="35"/>
      <c r="AJ34" s="61"/>
      <c r="AK34" s="31"/>
      <c r="AL34" s="31"/>
      <c r="AM34" s="31"/>
      <c r="AO34" s="61"/>
      <c r="AP34" s="35"/>
      <c r="AQ34" s="35"/>
      <c r="AR34" s="35"/>
      <c r="AS34" s="35"/>
      <c r="AT34" s="35"/>
      <c r="AU34" s="35"/>
      <c r="AV34" s="61"/>
      <c r="AW34" s="31"/>
      <c r="AX34" s="31"/>
      <c r="AY34" s="31"/>
      <c r="AZ34" s="155"/>
    </row>
    <row r="35" spans="2:52" ht="12.75">
      <c r="B35" s="27" t="s">
        <v>80</v>
      </c>
      <c r="C35" s="27"/>
      <c r="D35" s="27"/>
      <c r="E35" s="56">
        <v>174792</v>
      </c>
      <c r="F35" s="15"/>
      <c r="G35" s="21">
        <v>140816</v>
      </c>
      <c r="H35" s="37"/>
      <c r="I35" s="21">
        <v>160675</v>
      </c>
      <c r="J35" s="31"/>
      <c r="K35" s="31"/>
      <c r="L35" s="56">
        <v>174792</v>
      </c>
      <c r="M35" s="31"/>
      <c r="N35" s="21">
        <v>160675</v>
      </c>
      <c r="O35" s="31"/>
      <c r="P35" s="154"/>
      <c r="Q35" s="56">
        <v>151418</v>
      </c>
      <c r="R35" s="37"/>
      <c r="S35" s="36">
        <v>174792</v>
      </c>
      <c r="T35" s="37"/>
      <c r="U35" s="36">
        <v>146460</v>
      </c>
      <c r="V35" s="37"/>
      <c r="W35" s="35"/>
      <c r="X35" s="56">
        <v>151418</v>
      </c>
      <c r="Y35" s="37"/>
      <c r="Z35" s="36">
        <v>146460</v>
      </c>
      <c r="AA35" s="31"/>
      <c r="AC35" s="56">
        <v>188493</v>
      </c>
      <c r="AD35" s="37"/>
      <c r="AE35" s="36">
        <v>151418</v>
      </c>
      <c r="AF35" s="37"/>
      <c r="AG35" s="36">
        <v>141247</v>
      </c>
      <c r="AH35" s="37"/>
      <c r="AI35" s="35"/>
      <c r="AJ35" s="56">
        <v>188493</v>
      </c>
      <c r="AK35" s="21"/>
      <c r="AL35" s="36">
        <v>141247</v>
      </c>
      <c r="AM35" s="31"/>
      <c r="AO35" s="55">
        <v>199686</v>
      </c>
      <c r="AP35" s="37"/>
      <c r="AQ35" s="36">
        <v>188493</v>
      </c>
      <c r="AR35" s="37"/>
      <c r="AS35" s="37">
        <v>140816</v>
      </c>
      <c r="AT35" s="37"/>
      <c r="AU35" s="35"/>
      <c r="AV35" s="55">
        <v>199686</v>
      </c>
      <c r="AW35" s="15"/>
      <c r="AX35" s="21">
        <v>140816</v>
      </c>
      <c r="AY35" s="31"/>
      <c r="AZ35" s="157"/>
    </row>
    <row r="36" spans="2:54" ht="12.75">
      <c r="B36" s="27" t="s">
        <v>8</v>
      </c>
      <c r="C36" s="27"/>
      <c r="D36" s="27"/>
      <c r="E36" s="55">
        <v>2782</v>
      </c>
      <c r="F36" s="15"/>
      <c r="G36" s="15">
        <v>1764</v>
      </c>
      <c r="H36" s="37"/>
      <c r="I36" s="15">
        <v>1681</v>
      </c>
      <c r="J36" s="31"/>
      <c r="K36" s="31"/>
      <c r="L36" s="55">
        <v>2782</v>
      </c>
      <c r="M36" s="31"/>
      <c r="N36" s="15">
        <v>1681</v>
      </c>
      <c r="O36" s="31"/>
      <c r="P36" s="154"/>
      <c r="Q36" s="55">
        <v>10408</v>
      </c>
      <c r="R36" s="37"/>
      <c r="S36" s="37">
        <v>2782</v>
      </c>
      <c r="T36" s="37"/>
      <c r="U36" s="37">
        <v>2200</v>
      </c>
      <c r="V36" s="37"/>
      <c r="W36" s="35"/>
      <c r="X36" s="55">
        <v>10408</v>
      </c>
      <c r="Y36" s="37"/>
      <c r="Z36" s="37">
        <v>2200</v>
      </c>
      <c r="AA36" s="15"/>
      <c r="AC36" s="55">
        <v>3840</v>
      </c>
      <c r="AD36" s="37"/>
      <c r="AE36" s="37">
        <v>10408</v>
      </c>
      <c r="AF36" s="37"/>
      <c r="AG36" s="37">
        <v>2269</v>
      </c>
      <c r="AH36" s="37"/>
      <c r="AI36" s="35"/>
      <c r="AJ36" s="55">
        <v>3840</v>
      </c>
      <c r="AK36" s="15"/>
      <c r="AL36" s="37">
        <v>2269</v>
      </c>
      <c r="AM36" s="15"/>
      <c r="AN36" s="154"/>
      <c r="AO36" s="55">
        <v>2490</v>
      </c>
      <c r="AP36" s="37"/>
      <c r="AQ36" s="37">
        <v>3840</v>
      </c>
      <c r="AR36" s="37"/>
      <c r="AS36" s="37">
        <v>1764</v>
      </c>
      <c r="AT36" s="37"/>
      <c r="AU36" s="35"/>
      <c r="AV36" s="55">
        <v>2490</v>
      </c>
      <c r="AW36" s="37"/>
      <c r="AX36" s="15">
        <v>1764</v>
      </c>
      <c r="AY36" s="37"/>
      <c r="AZ36" s="157"/>
      <c r="BA36" s="31"/>
      <c r="BB36" s="31"/>
    </row>
    <row r="37" spans="2:52" ht="12.75">
      <c r="B37" s="27" t="s">
        <v>229</v>
      </c>
      <c r="C37" s="27"/>
      <c r="D37" s="27"/>
      <c r="E37" s="55">
        <v>569003</v>
      </c>
      <c r="F37" s="15"/>
      <c r="G37" s="15">
        <v>571110</v>
      </c>
      <c r="H37" s="37"/>
      <c r="I37" s="15">
        <v>554667</v>
      </c>
      <c r="J37" s="31"/>
      <c r="K37" s="31"/>
      <c r="L37" s="55">
        <v>569003</v>
      </c>
      <c r="M37" s="31"/>
      <c r="N37" s="15">
        <v>554667</v>
      </c>
      <c r="O37" s="31"/>
      <c r="P37" s="154"/>
      <c r="Q37" s="55">
        <v>557042</v>
      </c>
      <c r="R37" s="37"/>
      <c r="S37" s="37">
        <v>569003</v>
      </c>
      <c r="T37" s="37"/>
      <c r="U37" s="37">
        <v>568830</v>
      </c>
      <c r="V37" s="37"/>
      <c r="W37" s="35"/>
      <c r="X37" s="55">
        <v>557042</v>
      </c>
      <c r="Y37" s="37"/>
      <c r="Z37" s="37">
        <v>568830</v>
      </c>
      <c r="AA37" s="31"/>
      <c r="AC37" s="55">
        <v>539188</v>
      </c>
      <c r="AD37" s="37"/>
      <c r="AE37" s="37">
        <v>557042</v>
      </c>
      <c r="AF37" s="37"/>
      <c r="AG37" s="37">
        <v>576598</v>
      </c>
      <c r="AH37" s="37"/>
      <c r="AI37" s="35"/>
      <c r="AJ37" s="55">
        <v>539188</v>
      </c>
      <c r="AK37" s="15"/>
      <c r="AL37" s="37">
        <v>576598</v>
      </c>
      <c r="AM37" s="31"/>
      <c r="AO37" s="55">
        <v>527991</v>
      </c>
      <c r="AP37" s="37"/>
      <c r="AQ37" s="37">
        <v>539188</v>
      </c>
      <c r="AR37" s="37"/>
      <c r="AS37" s="37">
        <v>571110</v>
      </c>
      <c r="AT37" s="37"/>
      <c r="AU37" s="35"/>
      <c r="AV37" s="55">
        <v>527991</v>
      </c>
      <c r="AW37" s="15"/>
      <c r="AX37" s="15">
        <v>571110</v>
      </c>
      <c r="AY37" s="31"/>
      <c r="AZ37" s="157"/>
    </row>
    <row r="38" spans="2:52" ht="12.75">
      <c r="B38" s="27" t="s">
        <v>81</v>
      </c>
      <c r="C38" s="27"/>
      <c r="D38" s="27"/>
      <c r="E38" s="55">
        <v>24449</v>
      </c>
      <c r="F38" s="37"/>
      <c r="G38" s="15">
        <v>24543</v>
      </c>
      <c r="H38" s="37"/>
      <c r="I38" s="37">
        <f>22468+2358</f>
        <v>24826</v>
      </c>
      <c r="J38" s="31"/>
      <c r="K38" s="31"/>
      <c r="L38" s="55">
        <v>24449</v>
      </c>
      <c r="M38" s="31"/>
      <c r="N38" s="37">
        <f>22468+2358</f>
        <v>24826</v>
      </c>
      <c r="O38" s="31"/>
      <c r="P38" s="154"/>
      <c r="Q38" s="55">
        <f>22468+1886</f>
        <v>24354</v>
      </c>
      <c r="R38" s="37"/>
      <c r="S38" s="37">
        <v>24449</v>
      </c>
      <c r="T38" s="37"/>
      <c r="U38" s="37">
        <f>22468+2264</f>
        <v>24732</v>
      </c>
      <c r="V38" s="37"/>
      <c r="W38" s="35"/>
      <c r="X38" s="55">
        <f>22468+1886</f>
        <v>24354</v>
      </c>
      <c r="Y38" s="37"/>
      <c r="Z38" s="37">
        <f>22468+2264</f>
        <v>24732</v>
      </c>
      <c r="AA38" s="31"/>
      <c r="AC38" s="55">
        <f>22468+1792</f>
        <v>24260</v>
      </c>
      <c r="AD38" s="37"/>
      <c r="AE38" s="37">
        <f>22468+1886</f>
        <v>24354</v>
      </c>
      <c r="AF38" s="37"/>
      <c r="AG38" s="37">
        <f>22468+2169</f>
        <v>24637</v>
      </c>
      <c r="AH38" s="37"/>
      <c r="AI38" s="35"/>
      <c r="AJ38" s="55">
        <f>22468+1792</f>
        <v>24260</v>
      </c>
      <c r="AK38" s="15"/>
      <c r="AL38" s="37">
        <f>22468+2169</f>
        <v>24637</v>
      </c>
      <c r="AM38" s="31"/>
      <c r="AO38" s="55">
        <f>22468+1698</f>
        <v>24166</v>
      </c>
      <c r="AP38" s="37"/>
      <c r="AQ38" s="37">
        <f>22468+1792</f>
        <v>24260</v>
      </c>
      <c r="AR38" s="37"/>
      <c r="AS38" s="37">
        <v>24543</v>
      </c>
      <c r="AT38" s="37"/>
      <c r="AU38" s="35"/>
      <c r="AV38" s="55">
        <f>22468+1698</f>
        <v>24166</v>
      </c>
      <c r="AW38" s="15"/>
      <c r="AX38" s="15">
        <v>24543</v>
      </c>
      <c r="AY38" s="31"/>
      <c r="AZ38" s="157"/>
    </row>
    <row r="39" spans="2:52" ht="12.75">
      <c r="B39" s="27" t="s">
        <v>82</v>
      </c>
      <c r="C39" s="27"/>
      <c r="D39" s="27"/>
      <c r="E39" s="55">
        <v>829478</v>
      </c>
      <c r="F39" s="21"/>
      <c r="G39" s="15">
        <v>789184</v>
      </c>
      <c r="H39" s="37"/>
      <c r="I39" s="15">
        <v>785049</v>
      </c>
      <c r="J39" s="21"/>
      <c r="K39" s="21"/>
      <c r="L39" s="55">
        <v>829478</v>
      </c>
      <c r="M39" s="21"/>
      <c r="N39" s="15">
        <v>785049</v>
      </c>
      <c r="O39" s="21"/>
      <c r="P39" s="154"/>
      <c r="Q39" s="55">
        <v>811483</v>
      </c>
      <c r="R39" s="37"/>
      <c r="S39" s="37">
        <v>829478</v>
      </c>
      <c r="T39" s="37"/>
      <c r="U39" s="37">
        <v>790695</v>
      </c>
      <c r="V39" s="37"/>
      <c r="W39" s="35"/>
      <c r="X39" s="55">
        <v>811483</v>
      </c>
      <c r="Y39" s="36"/>
      <c r="Z39" s="37">
        <v>790695</v>
      </c>
      <c r="AA39" s="31"/>
      <c r="AC39" s="55">
        <v>810346</v>
      </c>
      <c r="AD39" s="37"/>
      <c r="AE39" s="37">
        <v>811483</v>
      </c>
      <c r="AF39" s="37"/>
      <c r="AG39" s="37">
        <v>800645</v>
      </c>
      <c r="AH39" s="37"/>
      <c r="AI39" s="35"/>
      <c r="AJ39" s="55">
        <v>810346</v>
      </c>
      <c r="AK39" s="15"/>
      <c r="AL39" s="37">
        <v>800645</v>
      </c>
      <c r="AM39" s="31"/>
      <c r="AO39" s="55">
        <v>808973</v>
      </c>
      <c r="AP39" s="37"/>
      <c r="AQ39" s="37">
        <v>810346</v>
      </c>
      <c r="AR39" s="37"/>
      <c r="AS39" s="37">
        <v>789184</v>
      </c>
      <c r="AT39" s="37"/>
      <c r="AU39" s="35"/>
      <c r="AV39" s="55">
        <v>808973</v>
      </c>
      <c r="AW39" s="21"/>
      <c r="AX39" s="15">
        <v>789184</v>
      </c>
      <c r="AY39" s="31"/>
      <c r="AZ39" s="157"/>
    </row>
    <row r="40" spans="2:53" ht="12.75">
      <c r="B40" s="27" t="s">
        <v>83</v>
      </c>
      <c r="C40" s="27"/>
      <c r="D40" s="27"/>
      <c r="E40" s="55">
        <f>+E39-E38</f>
        <v>805029</v>
      </c>
      <c r="F40" s="21"/>
      <c r="G40" s="15">
        <f>+G39-G38</f>
        <v>764641</v>
      </c>
      <c r="H40" s="37"/>
      <c r="I40" s="15">
        <f>+I39-I38</f>
        <v>760223</v>
      </c>
      <c r="J40" s="21"/>
      <c r="K40" s="21"/>
      <c r="L40" s="55">
        <f>+L39-L38</f>
        <v>805029</v>
      </c>
      <c r="M40" s="21"/>
      <c r="N40" s="15">
        <f>+N39-N38</f>
        <v>760223</v>
      </c>
      <c r="O40" s="21"/>
      <c r="P40" s="154" t="s">
        <v>228</v>
      </c>
      <c r="Q40" s="55">
        <f>+Q39-Q38</f>
        <v>787129</v>
      </c>
      <c r="R40" s="37"/>
      <c r="S40" s="37">
        <f>+S39-S38</f>
        <v>805029</v>
      </c>
      <c r="T40" s="37"/>
      <c r="U40" s="37">
        <f>+U39-U38</f>
        <v>765963</v>
      </c>
      <c r="V40" s="37"/>
      <c r="W40" s="35"/>
      <c r="X40" s="55">
        <f>+X39-X38</f>
        <v>787129</v>
      </c>
      <c r="Y40" s="36"/>
      <c r="Z40" s="37">
        <f>+Z39-Z38</f>
        <v>765963</v>
      </c>
      <c r="AA40" s="31"/>
      <c r="AC40" s="55">
        <f>+AC39-AC38</f>
        <v>786086</v>
      </c>
      <c r="AD40" s="37"/>
      <c r="AE40" s="37">
        <f>+AE39-AE38</f>
        <v>787129</v>
      </c>
      <c r="AF40" s="37"/>
      <c r="AG40" s="37">
        <v>776008</v>
      </c>
      <c r="AH40" s="37"/>
      <c r="AI40" s="35"/>
      <c r="AJ40" s="55">
        <f>+AJ39-AJ38</f>
        <v>786086</v>
      </c>
      <c r="AK40" s="15"/>
      <c r="AL40" s="37">
        <v>776008</v>
      </c>
      <c r="AM40" s="31"/>
      <c r="AO40" s="55">
        <f>+AO39-AO38</f>
        <v>784807</v>
      </c>
      <c r="AP40" s="37"/>
      <c r="AQ40" s="37">
        <f>+AQ39-AQ38</f>
        <v>786086</v>
      </c>
      <c r="AR40" s="37"/>
      <c r="AS40" s="37">
        <f>+AS39-AS38</f>
        <v>764641</v>
      </c>
      <c r="AT40" s="37"/>
      <c r="AU40" s="35"/>
      <c r="AV40" s="55">
        <f>+AV39-AV38</f>
        <v>784807</v>
      </c>
      <c r="AW40" s="21"/>
      <c r="AX40" s="15">
        <f>+AX39-AX38</f>
        <v>764641</v>
      </c>
      <c r="AY40" s="31"/>
      <c r="AZ40" s="157"/>
      <c r="BA40" s="2" t="s">
        <v>228</v>
      </c>
    </row>
    <row r="41" spans="2:52" ht="12.75">
      <c r="B41" s="27" t="s">
        <v>84</v>
      </c>
      <c r="C41" s="27"/>
      <c r="D41" s="27"/>
      <c r="E41" s="55">
        <v>615888</v>
      </c>
      <c r="F41" s="15"/>
      <c r="G41" s="15">
        <v>589138</v>
      </c>
      <c r="H41" s="37"/>
      <c r="I41" s="15">
        <v>581539</v>
      </c>
      <c r="J41" s="31"/>
      <c r="K41" s="31"/>
      <c r="L41" s="55">
        <v>615888</v>
      </c>
      <c r="M41" s="31"/>
      <c r="N41" s="15">
        <v>581539</v>
      </c>
      <c r="O41" s="31"/>
      <c r="P41" s="154"/>
      <c r="Q41" s="55">
        <v>615231</v>
      </c>
      <c r="R41" s="37"/>
      <c r="S41" s="37">
        <v>615888</v>
      </c>
      <c r="T41" s="37"/>
      <c r="U41" s="37">
        <v>569244</v>
      </c>
      <c r="V41" s="37"/>
      <c r="W41" s="35"/>
      <c r="X41" s="55">
        <v>615231</v>
      </c>
      <c r="Y41" s="37"/>
      <c r="Z41" s="37">
        <v>569244</v>
      </c>
      <c r="AA41" s="31"/>
      <c r="AC41" s="55">
        <v>596295</v>
      </c>
      <c r="AD41" s="37"/>
      <c r="AE41" s="37">
        <v>615231</v>
      </c>
      <c r="AF41" s="37"/>
      <c r="AG41" s="37">
        <v>589057</v>
      </c>
      <c r="AH41" s="37"/>
      <c r="AI41" s="35"/>
      <c r="AJ41" s="55">
        <v>596295</v>
      </c>
      <c r="AK41" s="15"/>
      <c r="AL41" s="37">
        <v>589057</v>
      </c>
      <c r="AM41" s="31"/>
      <c r="AO41" s="55">
        <v>604273</v>
      </c>
      <c r="AP41" s="37"/>
      <c r="AQ41" s="37">
        <v>596295</v>
      </c>
      <c r="AR41" s="37"/>
      <c r="AS41" s="37">
        <v>589138</v>
      </c>
      <c r="AT41" s="37"/>
      <c r="AU41" s="35"/>
      <c r="AV41" s="55">
        <v>604273</v>
      </c>
      <c r="AW41" s="15"/>
      <c r="AX41" s="15">
        <v>589138</v>
      </c>
      <c r="AY41" s="31"/>
      <c r="AZ41" s="157"/>
    </row>
    <row r="42" spans="2:52" ht="12.75">
      <c r="B42" s="27" t="s">
        <v>157</v>
      </c>
      <c r="C42" s="27"/>
      <c r="D42" s="27"/>
      <c r="E42" s="55">
        <v>60678</v>
      </c>
      <c r="F42" s="15"/>
      <c r="G42" s="37">
        <v>51741</v>
      </c>
      <c r="H42" s="37"/>
      <c r="I42" s="37">
        <v>58179</v>
      </c>
      <c r="J42" s="35"/>
      <c r="K42" s="31"/>
      <c r="L42" s="55">
        <v>60678</v>
      </c>
      <c r="M42" s="31"/>
      <c r="N42" s="15">
        <v>58179</v>
      </c>
      <c r="O42" s="31"/>
      <c r="P42" s="154"/>
      <c r="Q42" s="55">
        <v>59437</v>
      </c>
      <c r="R42" s="37"/>
      <c r="S42" s="37">
        <v>60678</v>
      </c>
      <c r="T42" s="37"/>
      <c r="U42" s="37">
        <v>57973</v>
      </c>
      <c r="V42" s="37"/>
      <c r="W42" s="35"/>
      <c r="X42" s="55">
        <v>59437</v>
      </c>
      <c r="Y42" s="37"/>
      <c r="Z42" s="37">
        <v>57973</v>
      </c>
      <c r="AA42" s="31"/>
      <c r="AC42" s="55">
        <v>71339</v>
      </c>
      <c r="AD42" s="37"/>
      <c r="AE42" s="37">
        <v>59437</v>
      </c>
      <c r="AF42" s="37"/>
      <c r="AG42" s="37">
        <v>44951</v>
      </c>
      <c r="AH42" s="37"/>
      <c r="AI42" s="35"/>
      <c r="AJ42" s="55">
        <v>71339</v>
      </c>
      <c r="AK42" s="37"/>
      <c r="AL42" s="37">
        <v>44951</v>
      </c>
      <c r="AM42" s="31"/>
      <c r="AO42" s="55">
        <v>65929</v>
      </c>
      <c r="AP42" s="37"/>
      <c r="AQ42" s="37">
        <v>71339</v>
      </c>
      <c r="AR42" s="37"/>
      <c r="AS42" s="37">
        <v>51741</v>
      </c>
      <c r="AT42" s="37"/>
      <c r="AU42" s="35"/>
      <c r="AV42" s="55">
        <v>65929</v>
      </c>
      <c r="AW42" s="15"/>
      <c r="AX42" s="15">
        <v>51741</v>
      </c>
      <c r="AY42" s="31"/>
      <c r="AZ42" s="157"/>
    </row>
    <row r="43" spans="2:52" ht="12.75">
      <c r="B43" s="27" t="s">
        <v>166</v>
      </c>
      <c r="C43" s="27"/>
      <c r="D43" s="27"/>
      <c r="E43" s="55">
        <v>12440</v>
      </c>
      <c r="F43" s="15"/>
      <c r="G43" s="37">
        <v>7850</v>
      </c>
      <c r="H43" s="37"/>
      <c r="I43" s="37">
        <v>3225</v>
      </c>
      <c r="J43" s="35"/>
      <c r="K43" s="31"/>
      <c r="L43" s="55">
        <v>12440</v>
      </c>
      <c r="M43" s="31"/>
      <c r="N43" s="15">
        <v>3225</v>
      </c>
      <c r="O43" s="31"/>
      <c r="P43" s="154"/>
      <c r="Q43" s="55">
        <v>0</v>
      </c>
      <c r="R43" s="37"/>
      <c r="S43" s="37">
        <v>12440</v>
      </c>
      <c r="T43" s="37"/>
      <c r="U43" s="37">
        <v>23625</v>
      </c>
      <c r="V43" s="37"/>
      <c r="W43" s="35"/>
      <c r="X43" s="55">
        <v>0</v>
      </c>
      <c r="Y43" s="37"/>
      <c r="Z43" s="37"/>
      <c r="AA43" s="31"/>
      <c r="AC43" s="55">
        <v>4000</v>
      </c>
      <c r="AD43" s="37"/>
      <c r="AE43" s="37">
        <v>0</v>
      </c>
      <c r="AF43" s="37"/>
      <c r="AG43" s="37">
        <v>25920</v>
      </c>
      <c r="AH43" s="37"/>
      <c r="AI43" s="35"/>
      <c r="AJ43" s="55">
        <v>4000</v>
      </c>
      <c r="AK43" s="37"/>
      <c r="AL43" s="37">
        <v>25920</v>
      </c>
      <c r="AM43" s="31"/>
      <c r="AO43" s="55">
        <v>0</v>
      </c>
      <c r="AP43" s="37"/>
      <c r="AQ43" s="37">
        <v>4000</v>
      </c>
      <c r="AR43" s="37"/>
      <c r="AS43" s="37">
        <v>7850</v>
      </c>
      <c r="AT43" s="37"/>
      <c r="AU43" s="35"/>
      <c r="AV43" s="55">
        <v>0</v>
      </c>
      <c r="AW43" s="15"/>
      <c r="AX43" s="15">
        <v>7850</v>
      </c>
      <c r="AY43" s="31"/>
      <c r="AZ43" s="157"/>
    </row>
    <row r="44" spans="2:52" ht="12.75">
      <c r="B44" s="27" t="s">
        <v>167</v>
      </c>
      <c r="C44" s="27"/>
      <c r="D44" s="27"/>
      <c r="E44" s="55">
        <f>13750+20619</f>
        <v>34369</v>
      </c>
      <c r="F44" s="15"/>
      <c r="G44" s="37">
        <v>34406</v>
      </c>
      <c r="H44" s="37"/>
      <c r="I44" s="37">
        <f>12900+20619</f>
        <v>33519</v>
      </c>
      <c r="J44" s="35"/>
      <c r="K44" s="31"/>
      <c r="L44" s="55">
        <f>13750+20619</f>
        <v>34369</v>
      </c>
      <c r="M44" s="31"/>
      <c r="N44" s="15">
        <f>12900+20619</f>
        <v>33519</v>
      </c>
      <c r="O44" s="31"/>
      <c r="P44" s="154"/>
      <c r="Q44" s="55">
        <f>8712+20619</f>
        <v>29331</v>
      </c>
      <c r="R44" s="37"/>
      <c r="S44" s="37">
        <f>13750+20619</f>
        <v>34369</v>
      </c>
      <c r="T44" s="37"/>
      <c r="U44" s="37">
        <f>58107-23625</f>
        <v>34482</v>
      </c>
      <c r="V44" s="37"/>
      <c r="W44" s="35"/>
      <c r="X44" s="55">
        <f>8712+20619</f>
        <v>29331</v>
      </c>
      <c r="Y44" s="37"/>
      <c r="Z44" s="37">
        <v>58107</v>
      </c>
      <c r="AA44" s="31"/>
      <c r="AC44" s="55">
        <f>8675+20619</f>
        <v>29294</v>
      </c>
      <c r="AD44" s="37"/>
      <c r="AE44" s="37">
        <f>8712+20619</f>
        <v>29331</v>
      </c>
      <c r="AF44" s="37"/>
      <c r="AG44" s="37">
        <f>39745+20619-25920</f>
        <v>34444</v>
      </c>
      <c r="AH44" s="37"/>
      <c r="AI44" s="35"/>
      <c r="AJ44" s="55">
        <f>8675+20619</f>
        <v>29294</v>
      </c>
      <c r="AK44" s="37"/>
      <c r="AL44" s="37">
        <f>39745+20619-25920</f>
        <v>34444</v>
      </c>
      <c r="AM44" s="31"/>
      <c r="AO44" s="55">
        <f>8638+20619</f>
        <v>29257</v>
      </c>
      <c r="AP44" s="37"/>
      <c r="AQ44" s="37">
        <f>8675+20619</f>
        <v>29294</v>
      </c>
      <c r="AR44" s="37"/>
      <c r="AS44" s="37">
        <v>34406</v>
      </c>
      <c r="AT44" s="37"/>
      <c r="AU44" s="35"/>
      <c r="AV44" s="55">
        <f>8638+20619</f>
        <v>29257</v>
      </c>
      <c r="AW44" s="15"/>
      <c r="AX44" s="15">
        <v>34406</v>
      </c>
      <c r="AY44" s="31"/>
      <c r="AZ44" s="157"/>
    </row>
    <row r="45" spans="2:52" ht="12.75">
      <c r="B45" s="27" t="s">
        <v>85</v>
      </c>
      <c r="C45" s="27"/>
      <c r="D45" s="27"/>
      <c r="E45" s="55">
        <v>101915</v>
      </c>
      <c r="F45" s="15"/>
      <c r="G45" s="37">
        <v>102300</v>
      </c>
      <c r="H45" s="37"/>
      <c r="I45" s="37">
        <v>102873</v>
      </c>
      <c r="J45" s="35"/>
      <c r="K45" s="31"/>
      <c r="L45" s="55">
        <v>101915</v>
      </c>
      <c r="M45" s="31"/>
      <c r="N45" s="15">
        <v>102873</v>
      </c>
      <c r="O45" s="31"/>
      <c r="P45" s="154"/>
      <c r="Q45" s="55">
        <v>102618</v>
      </c>
      <c r="R45" s="37"/>
      <c r="S45" s="37">
        <v>101915</v>
      </c>
      <c r="T45" s="37"/>
      <c r="U45" s="37">
        <v>101896</v>
      </c>
      <c r="V45" s="37"/>
      <c r="W45" s="35"/>
      <c r="X45" s="55">
        <v>102618</v>
      </c>
      <c r="Y45" s="37"/>
      <c r="Z45" s="37">
        <v>101896</v>
      </c>
      <c r="AA45" s="31"/>
      <c r="AC45" s="55">
        <v>104905</v>
      </c>
      <c r="AD45" s="37"/>
      <c r="AE45" s="37">
        <v>102618</v>
      </c>
      <c r="AF45" s="37"/>
      <c r="AG45" s="37">
        <v>102714</v>
      </c>
      <c r="AH45" s="37"/>
      <c r="AI45" s="35"/>
      <c r="AJ45" s="55">
        <v>104905</v>
      </c>
      <c r="AK45" s="37"/>
      <c r="AL45" s="37">
        <v>102714</v>
      </c>
      <c r="AM45" s="31"/>
      <c r="AO45" s="55">
        <v>106389</v>
      </c>
      <c r="AP45" s="37"/>
      <c r="AQ45" s="37">
        <v>104905</v>
      </c>
      <c r="AR45" s="37"/>
      <c r="AS45" s="37">
        <v>102300</v>
      </c>
      <c r="AT45" s="37"/>
      <c r="AU45" s="35"/>
      <c r="AV45" s="55">
        <v>106389</v>
      </c>
      <c r="AW45" s="15"/>
      <c r="AX45" s="15">
        <v>102300</v>
      </c>
      <c r="AY45" s="31"/>
      <c r="AZ45" s="157"/>
    </row>
    <row r="46" spans="2:53" ht="12.75">
      <c r="B46" s="27" t="s">
        <v>86</v>
      </c>
      <c r="C46" s="27"/>
      <c r="D46" s="27"/>
      <c r="E46" s="55">
        <f>+E45-E38</f>
        <v>77466</v>
      </c>
      <c r="F46" s="15"/>
      <c r="G46" s="15">
        <f>+G45-G38</f>
        <v>77757</v>
      </c>
      <c r="H46" s="37"/>
      <c r="I46" s="15">
        <f>+I45-I38</f>
        <v>78047</v>
      </c>
      <c r="J46" s="31"/>
      <c r="K46" s="31"/>
      <c r="L46" s="55">
        <f>+L45-L38</f>
        <v>77466</v>
      </c>
      <c r="M46" s="31"/>
      <c r="N46" s="15">
        <f>+N45-N38</f>
        <v>78047</v>
      </c>
      <c r="O46" s="31"/>
      <c r="P46" s="154" t="s">
        <v>228</v>
      </c>
      <c r="Q46" s="55">
        <f>+Q45-Q38</f>
        <v>78264</v>
      </c>
      <c r="R46" s="37"/>
      <c r="S46" s="37">
        <f>+S45-S38</f>
        <v>77466</v>
      </c>
      <c r="T46" s="37"/>
      <c r="U46" s="37">
        <f>+U45-U38</f>
        <v>77164</v>
      </c>
      <c r="V46" s="37"/>
      <c r="W46" s="35"/>
      <c r="X46" s="55">
        <f>+X45-X38</f>
        <v>78264</v>
      </c>
      <c r="Y46" s="37"/>
      <c r="Z46" s="37">
        <f>+Z45-Z38</f>
        <v>77164</v>
      </c>
      <c r="AA46" s="31"/>
      <c r="AC46" s="55">
        <f>+AC45-AC38</f>
        <v>80645</v>
      </c>
      <c r="AD46" s="37"/>
      <c r="AE46" s="37">
        <f>+AE45-AE38</f>
        <v>78264</v>
      </c>
      <c r="AF46" s="37"/>
      <c r="AG46" s="37">
        <v>78077</v>
      </c>
      <c r="AH46" s="37"/>
      <c r="AI46" s="35"/>
      <c r="AJ46" s="55">
        <f>+AJ45-AJ38</f>
        <v>80645</v>
      </c>
      <c r="AK46" s="37"/>
      <c r="AL46" s="37">
        <v>78077</v>
      </c>
      <c r="AM46" s="31"/>
      <c r="AO46" s="55">
        <f>+AO45-AO38</f>
        <v>82223</v>
      </c>
      <c r="AP46" s="37"/>
      <c r="AQ46" s="37">
        <f>+AQ45-AQ38</f>
        <v>80645</v>
      </c>
      <c r="AR46" s="37"/>
      <c r="AS46" s="37">
        <f>+AS45-AS38</f>
        <v>77757</v>
      </c>
      <c r="AT46" s="37"/>
      <c r="AU46" s="35"/>
      <c r="AV46" s="55">
        <f>+AV45-AV38</f>
        <v>82223</v>
      </c>
      <c r="AW46" s="15"/>
      <c r="AX46" s="15">
        <f>+AX45-AX38</f>
        <v>77757</v>
      </c>
      <c r="AY46" s="31"/>
      <c r="AZ46" s="157"/>
      <c r="BA46" s="2" t="s">
        <v>228</v>
      </c>
    </row>
    <row r="47" spans="2:52" ht="12.75">
      <c r="B47" s="27"/>
      <c r="C47" s="27"/>
      <c r="D47" s="27"/>
      <c r="E47" s="55"/>
      <c r="F47" s="37"/>
      <c r="G47" s="15"/>
      <c r="H47" s="15"/>
      <c r="I47" s="37"/>
      <c r="J47" s="31"/>
      <c r="K47" s="31"/>
      <c r="L47" s="55"/>
      <c r="M47" s="31"/>
      <c r="N47" s="37"/>
      <c r="O47" s="31"/>
      <c r="P47" s="154"/>
      <c r="Q47" s="55"/>
      <c r="R47" s="37"/>
      <c r="S47" s="37"/>
      <c r="T47" s="37"/>
      <c r="U47" s="37"/>
      <c r="V47" s="37"/>
      <c r="W47" s="35"/>
      <c r="X47" s="55"/>
      <c r="Y47" s="37"/>
      <c r="Z47" s="37"/>
      <c r="AA47" s="31"/>
      <c r="AC47" s="55"/>
      <c r="AD47" s="37"/>
      <c r="AE47" s="37"/>
      <c r="AF47" s="37"/>
      <c r="AG47" s="37"/>
      <c r="AH47" s="37"/>
      <c r="AI47" s="35"/>
      <c r="AJ47" s="55"/>
      <c r="AK47" s="15"/>
      <c r="AL47" s="15"/>
      <c r="AM47" s="31"/>
      <c r="AO47" s="55"/>
      <c r="AP47" s="37"/>
      <c r="AQ47" s="37"/>
      <c r="AR47" s="35"/>
      <c r="AS47" s="37"/>
      <c r="AT47" s="35"/>
      <c r="AU47" s="35"/>
      <c r="AV47" s="55"/>
      <c r="AW47" s="15"/>
      <c r="AX47" s="15"/>
      <c r="AY47" s="31"/>
      <c r="AZ47" s="157"/>
    </row>
    <row r="48" spans="1:52" ht="12.75">
      <c r="A48" s="1" t="s">
        <v>87</v>
      </c>
      <c r="B48" s="27"/>
      <c r="C48" s="27"/>
      <c r="D48" s="27"/>
      <c r="E48" s="61"/>
      <c r="F48" s="31"/>
      <c r="G48" s="31"/>
      <c r="H48" s="31"/>
      <c r="I48" s="31"/>
      <c r="J48" s="31"/>
      <c r="K48" s="31"/>
      <c r="L48" s="61"/>
      <c r="M48" s="31"/>
      <c r="N48" s="31"/>
      <c r="O48" s="31"/>
      <c r="P48" s="154"/>
      <c r="Q48" s="61"/>
      <c r="R48" s="35"/>
      <c r="S48" s="35"/>
      <c r="T48" s="35"/>
      <c r="U48" s="35"/>
      <c r="V48" s="35"/>
      <c r="W48" s="35"/>
      <c r="X48" s="61"/>
      <c r="Y48" s="35"/>
      <c r="Z48" s="35"/>
      <c r="AA48" s="31"/>
      <c r="AC48" s="61"/>
      <c r="AD48" s="35"/>
      <c r="AE48" s="35"/>
      <c r="AF48" s="35"/>
      <c r="AG48" s="35"/>
      <c r="AH48" s="35"/>
      <c r="AI48" s="35"/>
      <c r="AJ48" s="61"/>
      <c r="AK48" s="31"/>
      <c r="AL48" s="31"/>
      <c r="AM48" s="31"/>
      <c r="AO48" s="61"/>
      <c r="AP48" s="35"/>
      <c r="AQ48" s="35"/>
      <c r="AR48" s="35"/>
      <c r="AS48" s="35"/>
      <c r="AT48" s="35"/>
      <c r="AU48" s="35"/>
      <c r="AV48" s="61"/>
      <c r="AW48" s="31"/>
      <c r="AX48" s="31"/>
      <c r="AY48" s="31"/>
      <c r="AZ48" s="155"/>
    </row>
    <row r="49" spans="2:52" ht="12" customHeight="1">
      <c r="B49" s="27" t="s">
        <v>80</v>
      </c>
      <c r="C49" s="27"/>
      <c r="D49" s="27"/>
      <c r="E49" s="56">
        <v>138067</v>
      </c>
      <c r="F49" s="15"/>
      <c r="G49" s="36">
        <v>137947</v>
      </c>
      <c r="H49" s="15"/>
      <c r="I49" s="36">
        <v>151699</v>
      </c>
      <c r="J49" s="31"/>
      <c r="K49" s="31"/>
      <c r="L49" s="56">
        <v>138067</v>
      </c>
      <c r="M49" s="31"/>
      <c r="N49" s="36">
        <v>151699</v>
      </c>
      <c r="O49" s="31"/>
      <c r="P49" s="154"/>
      <c r="Q49" s="56">
        <v>147576</v>
      </c>
      <c r="R49" s="37"/>
      <c r="S49" s="36">
        <v>138067</v>
      </c>
      <c r="T49" s="37"/>
      <c r="U49" s="36">
        <v>150247</v>
      </c>
      <c r="V49" s="37"/>
      <c r="W49" s="35"/>
      <c r="X49" s="56">
        <v>142847</v>
      </c>
      <c r="Y49" s="37"/>
      <c r="Z49" s="36">
        <v>150973</v>
      </c>
      <c r="AA49" s="31"/>
      <c r="AC49" s="56">
        <v>159314</v>
      </c>
      <c r="AD49" s="37"/>
      <c r="AE49" s="36">
        <v>147576</v>
      </c>
      <c r="AF49" s="35"/>
      <c r="AG49" s="36">
        <v>141697</v>
      </c>
      <c r="AH49" s="35"/>
      <c r="AI49" s="35"/>
      <c r="AJ49" s="56">
        <v>148415</v>
      </c>
      <c r="AK49" s="15"/>
      <c r="AL49" s="36">
        <v>147863</v>
      </c>
      <c r="AM49" s="31"/>
      <c r="AO49" s="56">
        <v>167546</v>
      </c>
      <c r="AP49" s="37"/>
      <c r="AQ49" s="36">
        <v>159314</v>
      </c>
      <c r="AR49" s="35"/>
      <c r="AS49" s="36">
        <v>137947</v>
      </c>
      <c r="AT49" s="35"/>
      <c r="AU49" s="35"/>
      <c r="AV49" s="56">
        <v>153237</v>
      </c>
      <c r="AW49" s="15"/>
      <c r="AX49" s="36">
        <v>145371</v>
      </c>
      <c r="AY49" s="31"/>
      <c r="AZ49" s="157"/>
    </row>
    <row r="50" spans="2:52" ht="12.75">
      <c r="B50" s="27" t="s">
        <v>8</v>
      </c>
      <c r="C50" s="27"/>
      <c r="D50" s="27"/>
      <c r="E50" s="55">
        <v>2996</v>
      </c>
      <c r="F50" s="15"/>
      <c r="G50" s="37">
        <v>1669</v>
      </c>
      <c r="H50" s="15"/>
      <c r="I50" s="37">
        <v>1614</v>
      </c>
      <c r="J50" s="31"/>
      <c r="K50" s="31"/>
      <c r="L50" s="55">
        <v>2996</v>
      </c>
      <c r="M50" s="31"/>
      <c r="N50" s="37">
        <v>1614</v>
      </c>
      <c r="O50" s="31"/>
      <c r="P50" s="154"/>
      <c r="Q50" s="55">
        <v>7787</v>
      </c>
      <c r="R50" s="37"/>
      <c r="S50" s="37">
        <v>2996</v>
      </c>
      <c r="T50" s="37"/>
      <c r="U50" s="37">
        <v>2206</v>
      </c>
      <c r="V50" s="37"/>
      <c r="W50" s="35"/>
      <c r="X50" s="55">
        <v>5405</v>
      </c>
      <c r="Y50" s="37"/>
      <c r="Z50" s="37">
        <v>1910</v>
      </c>
      <c r="AA50" s="31"/>
      <c r="AC50" s="55">
        <v>6540</v>
      </c>
      <c r="AD50" s="37"/>
      <c r="AE50" s="37">
        <v>7787</v>
      </c>
      <c r="AF50" s="37"/>
      <c r="AG50" s="37">
        <v>1986</v>
      </c>
      <c r="AH50" s="37"/>
      <c r="AI50" s="35"/>
      <c r="AJ50" s="55">
        <v>5788</v>
      </c>
      <c r="AK50" s="15"/>
      <c r="AL50" s="37">
        <v>1936</v>
      </c>
      <c r="AM50" s="31"/>
      <c r="AO50" s="55">
        <v>4394</v>
      </c>
      <c r="AP50" s="37"/>
      <c r="AQ50" s="37">
        <v>6540</v>
      </c>
      <c r="AR50" s="35"/>
      <c r="AS50" s="37">
        <v>1669</v>
      </c>
      <c r="AT50" s="35"/>
      <c r="AU50" s="35"/>
      <c r="AV50" s="55">
        <v>5436</v>
      </c>
      <c r="AW50" s="15"/>
      <c r="AX50" s="37">
        <v>1869</v>
      </c>
      <c r="AY50" s="31"/>
      <c r="AZ50" s="157"/>
    </row>
    <row r="51" spans="2:53" ht="12.75">
      <c r="B51" s="27" t="s">
        <v>229</v>
      </c>
      <c r="C51" s="27"/>
      <c r="D51" s="27"/>
      <c r="E51" s="55">
        <f>573338-2996</f>
        <v>570342</v>
      </c>
      <c r="F51" s="15"/>
      <c r="G51" s="37">
        <v>571081</v>
      </c>
      <c r="H51" s="15"/>
      <c r="I51" s="37">
        <f>555585-1614</f>
        <v>553971</v>
      </c>
      <c r="J51" s="31"/>
      <c r="K51" s="31"/>
      <c r="L51" s="55">
        <f>573338-2996</f>
        <v>570342</v>
      </c>
      <c r="M51" s="31"/>
      <c r="N51" s="37">
        <f>555585-1614</f>
        <v>553971</v>
      </c>
      <c r="O51" s="31"/>
      <c r="P51" s="154"/>
      <c r="Q51" s="55">
        <f>570441-7787</f>
        <v>562654</v>
      </c>
      <c r="R51" s="37"/>
      <c r="S51" s="37">
        <f>573338-2996</f>
        <v>570342</v>
      </c>
      <c r="T51" s="37"/>
      <c r="U51" s="37">
        <f>566975-2206</f>
        <v>564769</v>
      </c>
      <c r="V51" s="37"/>
      <c r="W51" s="35"/>
      <c r="X51" s="55">
        <f>571881-5405</f>
        <v>566476</v>
      </c>
      <c r="Y51" s="37"/>
      <c r="Z51" s="37">
        <f>561280-1910</f>
        <v>559370</v>
      </c>
      <c r="AA51" s="31"/>
      <c r="AC51" s="55">
        <f>553615-6540</f>
        <v>547075</v>
      </c>
      <c r="AD51" s="37"/>
      <c r="AE51" s="37">
        <f>570441-7787</f>
        <v>562654</v>
      </c>
      <c r="AF51" s="37"/>
      <c r="AG51" s="37">
        <f>574182-1986</f>
        <v>572196</v>
      </c>
      <c r="AH51" s="37"/>
      <c r="AI51" s="35"/>
      <c r="AJ51" s="55">
        <f>565726-5788</f>
        <v>559938</v>
      </c>
      <c r="AK51" s="15"/>
      <c r="AL51" s="37">
        <f>565603-1936</f>
        <v>563667</v>
      </c>
      <c r="AM51" s="31"/>
      <c r="AO51" s="55">
        <v>540103</v>
      </c>
      <c r="AP51" s="37"/>
      <c r="AQ51" s="37">
        <f>553615-6540</f>
        <v>547075</v>
      </c>
      <c r="AR51" s="35"/>
      <c r="AS51" s="37">
        <v>571081</v>
      </c>
      <c r="AT51" s="35"/>
      <c r="AU51" s="35"/>
      <c r="AV51" s="55">
        <v>553831</v>
      </c>
      <c r="AW51" s="15"/>
      <c r="AX51" s="37">
        <v>565530</v>
      </c>
      <c r="AY51" s="31"/>
      <c r="AZ51" s="157"/>
      <c r="BA51" s="2" t="s">
        <v>219</v>
      </c>
    </row>
    <row r="52" spans="2:52" ht="12.75">
      <c r="B52" s="27" t="s">
        <v>89</v>
      </c>
      <c r="C52" s="27"/>
      <c r="D52" s="27"/>
      <c r="E52" s="55">
        <v>741631</v>
      </c>
      <c r="F52" s="15"/>
      <c r="G52" s="37">
        <v>720197</v>
      </c>
      <c r="H52" s="15"/>
      <c r="I52" s="37">
        <v>717508</v>
      </c>
      <c r="J52" s="31"/>
      <c r="K52" s="31"/>
      <c r="L52" s="55">
        <v>741631</v>
      </c>
      <c r="M52" s="31"/>
      <c r="N52" s="37">
        <v>717508</v>
      </c>
      <c r="O52" s="31"/>
      <c r="P52" s="154"/>
      <c r="Q52" s="55">
        <v>744899</v>
      </c>
      <c r="R52" s="37"/>
      <c r="S52" s="37">
        <v>741631</v>
      </c>
      <c r="T52" s="37"/>
      <c r="U52" s="37">
        <v>725789</v>
      </c>
      <c r="V52" s="37"/>
      <c r="W52" s="35"/>
      <c r="X52" s="55">
        <v>739965</v>
      </c>
      <c r="Y52" s="37"/>
      <c r="Z52" s="37">
        <v>721741</v>
      </c>
      <c r="AA52" s="31"/>
      <c r="AC52" s="55">
        <v>741194</v>
      </c>
      <c r="AD52" s="37"/>
      <c r="AE52" s="37">
        <v>744899</v>
      </c>
      <c r="AF52" s="37"/>
      <c r="AG52" s="37">
        <v>724368</v>
      </c>
      <c r="AH52" s="37"/>
      <c r="AI52" s="35"/>
      <c r="AJ52" s="55">
        <v>740399</v>
      </c>
      <c r="AK52" s="15"/>
      <c r="AL52" s="37">
        <v>722619</v>
      </c>
      <c r="AM52" s="31"/>
      <c r="AO52" s="55">
        <v>744007</v>
      </c>
      <c r="AP52" s="37"/>
      <c r="AQ52" s="37">
        <v>741194</v>
      </c>
      <c r="AR52" s="35"/>
      <c r="AS52" s="37">
        <v>720197</v>
      </c>
      <c r="AT52" s="35"/>
      <c r="AU52" s="35"/>
      <c r="AV52" s="55">
        <v>741308</v>
      </c>
      <c r="AW52" s="15"/>
      <c r="AX52" s="37">
        <v>722009</v>
      </c>
      <c r="AY52" s="31"/>
      <c r="AZ52" s="157"/>
    </row>
    <row r="53" spans="2:52" ht="12.75">
      <c r="B53" s="27" t="s">
        <v>81</v>
      </c>
      <c r="C53" s="27"/>
      <c r="D53" s="27"/>
      <c r="E53" s="55">
        <v>24507</v>
      </c>
      <c r="F53" s="15"/>
      <c r="G53" s="37">
        <v>24600</v>
      </c>
      <c r="H53" s="15"/>
      <c r="I53" s="37">
        <v>24864</v>
      </c>
      <c r="J53" s="31"/>
      <c r="K53" s="31"/>
      <c r="L53" s="55">
        <v>24507</v>
      </c>
      <c r="M53" s="31"/>
      <c r="N53" s="37">
        <v>24864</v>
      </c>
      <c r="O53" s="31"/>
      <c r="P53" s="154"/>
      <c r="Q53" s="55">
        <v>24406</v>
      </c>
      <c r="R53" s="37"/>
      <c r="S53" s="37">
        <v>24507</v>
      </c>
      <c r="T53" s="37"/>
      <c r="U53" s="37">
        <v>24785</v>
      </c>
      <c r="V53" s="37"/>
      <c r="W53" s="35"/>
      <c r="X53" s="55">
        <v>24456</v>
      </c>
      <c r="Y53" s="37"/>
      <c r="Z53" s="37">
        <v>24825</v>
      </c>
      <c r="AA53" s="31"/>
      <c r="AC53" s="55">
        <v>24314</v>
      </c>
      <c r="AD53" s="37"/>
      <c r="AE53" s="37">
        <v>24406</v>
      </c>
      <c r="AF53" s="37"/>
      <c r="AG53" s="37">
        <v>24695</v>
      </c>
      <c r="AH53" s="37"/>
      <c r="AI53" s="35"/>
      <c r="AJ53" s="55">
        <v>24408</v>
      </c>
      <c r="AK53" s="15"/>
      <c r="AL53" s="37">
        <v>24781</v>
      </c>
      <c r="AM53" s="31"/>
      <c r="AO53" s="55">
        <v>24217</v>
      </c>
      <c r="AP53" s="37"/>
      <c r="AQ53" s="37">
        <v>24314</v>
      </c>
      <c r="AR53" s="35"/>
      <c r="AS53" s="37">
        <v>24600</v>
      </c>
      <c r="AT53" s="35"/>
      <c r="AU53" s="35"/>
      <c r="AV53" s="55">
        <v>24360</v>
      </c>
      <c r="AW53" s="15"/>
      <c r="AX53" s="37">
        <v>24736</v>
      </c>
      <c r="AY53" s="31"/>
      <c r="AZ53" s="157"/>
    </row>
    <row r="54" spans="2:52" ht="12.75">
      <c r="B54" s="27" t="s">
        <v>82</v>
      </c>
      <c r="C54" s="27"/>
      <c r="D54" s="27"/>
      <c r="E54" s="55">
        <v>803206</v>
      </c>
      <c r="F54" s="21"/>
      <c r="G54" s="37">
        <v>785182</v>
      </c>
      <c r="H54" s="21"/>
      <c r="I54" s="37">
        <v>780204</v>
      </c>
      <c r="J54" s="21"/>
      <c r="K54" s="21"/>
      <c r="L54" s="55">
        <v>803206</v>
      </c>
      <c r="M54" s="21"/>
      <c r="N54" s="37">
        <v>780204</v>
      </c>
      <c r="O54" s="21"/>
      <c r="P54" s="154"/>
      <c r="Q54" s="55">
        <v>812404</v>
      </c>
      <c r="R54" s="36"/>
      <c r="S54" s="37">
        <v>803206</v>
      </c>
      <c r="T54" s="36"/>
      <c r="U54" s="37">
        <v>789412</v>
      </c>
      <c r="V54" s="36"/>
      <c r="W54" s="35"/>
      <c r="X54" s="55">
        <v>808071</v>
      </c>
      <c r="Y54" s="36"/>
      <c r="Z54" s="37">
        <v>784772</v>
      </c>
      <c r="AA54" s="31"/>
      <c r="AC54" s="55">
        <v>810064</v>
      </c>
      <c r="AD54" s="36"/>
      <c r="AE54" s="37">
        <v>812404</v>
      </c>
      <c r="AF54" s="36"/>
      <c r="AG54" s="37">
        <v>786804</v>
      </c>
      <c r="AH54" s="36"/>
      <c r="AI54" s="35"/>
      <c r="AJ54" s="55">
        <v>808761</v>
      </c>
      <c r="AK54" s="21"/>
      <c r="AL54" s="37">
        <v>785372</v>
      </c>
      <c r="AM54" s="31"/>
      <c r="AO54" s="55">
        <v>814232</v>
      </c>
      <c r="AP54" s="36"/>
      <c r="AQ54" s="37">
        <v>810064</v>
      </c>
      <c r="AR54" s="36"/>
      <c r="AS54" s="37">
        <v>785182</v>
      </c>
      <c r="AT54" s="36"/>
      <c r="AU54" s="35"/>
      <c r="AV54" s="55">
        <v>810140</v>
      </c>
      <c r="AW54" s="21"/>
      <c r="AX54" s="37">
        <v>785868</v>
      </c>
      <c r="AY54" s="31"/>
      <c r="AZ54" s="157"/>
    </row>
    <row r="55" spans="2:53" ht="12.75">
      <c r="B55" s="27" t="s">
        <v>83</v>
      </c>
      <c r="C55" s="27"/>
      <c r="D55" s="27"/>
      <c r="E55" s="55">
        <f>+E54-E53</f>
        <v>778699</v>
      </c>
      <c r="F55" s="36"/>
      <c r="G55" s="37">
        <f>+G54-G53</f>
        <v>760582</v>
      </c>
      <c r="H55" s="21"/>
      <c r="I55" s="37">
        <f>+I54-I53</f>
        <v>755340</v>
      </c>
      <c r="J55" s="21"/>
      <c r="K55" s="21"/>
      <c r="L55" s="55">
        <f>+L54-L53</f>
        <v>778699</v>
      </c>
      <c r="M55" s="21"/>
      <c r="N55" s="37">
        <f>+N54-N53</f>
        <v>755340</v>
      </c>
      <c r="O55" s="21"/>
      <c r="P55" s="154" t="s">
        <v>228</v>
      </c>
      <c r="Q55" s="55">
        <f>+Q54-Q53</f>
        <v>787998</v>
      </c>
      <c r="R55" s="36"/>
      <c r="S55" s="37">
        <f>+S54-S53</f>
        <v>778699</v>
      </c>
      <c r="T55" s="36"/>
      <c r="U55" s="37">
        <f>+U54-U53</f>
        <v>764627</v>
      </c>
      <c r="V55" s="36"/>
      <c r="W55" s="35"/>
      <c r="X55" s="55">
        <f>+X54-X53</f>
        <v>783615</v>
      </c>
      <c r="Y55" s="36"/>
      <c r="Z55" s="37">
        <f>+Z54-Z53</f>
        <v>759947</v>
      </c>
      <c r="AA55" s="31"/>
      <c r="AC55" s="55">
        <f>+AC54-AC53</f>
        <v>785750</v>
      </c>
      <c r="AD55" s="37"/>
      <c r="AE55" s="37">
        <f>+AE54-AE53</f>
        <v>787998</v>
      </c>
      <c r="AF55" s="37"/>
      <c r="AG55" s="37">
        <f>+AG54-AG53</f>
        <v>762109</v>
      </c>
      <c r="AH55" s="37"/>
      <c r="AI55" s="35"/>
      <c r="AJ55" s="55">
        <f>+AJ54-AJ53</f>
        <v>784353</v>
      </c>
      <c r="AK55" s="15"/>
      <c r="AL55" s="37">
        <f>+AL54-AL53</f>
        <v>760591</v>
      </c>
      <c r="AM55" s="31"/>
      <c r="AO55" s="55">
        <f>+AO54-AO53</f>
        <v>790015</v>
      </c>
      <c r="AP55" s="36"/>
      <c r="AQ55" s="37">
        <f>+AQ54-AQ53</f>
        <v>785750</v>
      </c>
      <c r="AR55" s="36"/>
      <c r="AS55" s="37">
        <f>+AS54-AS53</f>
        <v>760582</v>
      </c>
      <c r="AT55" s="36"/>
      <c r="AU55" s="35"/>
      <c r="AV55" s="55">
        <f>+AV54-AV53</f>
        <v>785780</v>
      </c>
      <c r="AW55" s="21"/>
      <c r="AX55" s="37">
        <f>+AX54-AX53</f>
        <v>761132</v>
      </c>
      <c r="AY55" s="31"/>
      <c r="AZ55" s="157"/>
      <c r="BA55" s="2" t="s">
        <v>228</v>
      </c>
    </row>
    <row r="56" spans="2:52" ht="12.75">
      <c r="B56" s="27" t="s">
        <v>90</v>
      </c>
      <c r="C56" s="27"/>
      <c r="D56" s="27"/>
      <c r="E56" s="55">
        <v>510821</v>
      </c>
      <c r="F56" s="15"/>
      <c r="G56" s="37">
        <v>491701</v>
      </c>
      <c r="H56" s="15"/>
      <c r="I56" s="37">
        <v>486198</v>
      </c>
      <c r="J56" s="31"/>
      <c r="K56" s="31"/>
      <c r="L56" s="55">
        <v>510821</v>
      </c>
      <c r="M56" s="31"/>
      <c r="N56" s="37">
        <v>486198</v>
      </c>
      <c r="O56" s="31"/>
      <c r="P56" s="154"/>
      <c r="Q56" s="55">
        <v>513876</v>
      </c>
      <c r="R56" s="37"/>
      <c r="S56" s="37">
        <v>510821</v>
      </c>
      <c r="T56" s="37"/>
      <c r="U56" s="37">
        <v>476207</v>
      </c>
      <c r="V56" s="37"/>
      <c r="W56" s="35"/>
      <c r="X56" s="55">
        <v>512357</v>
      </c>
      <c r="Y56" s="37"/>
      <c r="Z56" s="37">
        <v>481203</v>
      </c>
      <c r="AA56" s="31"/>
      <c r="AC56" s="55">
        <v>503793</v>
      </c>
      <c r="AD56" s="37"/>
      <c r="AE56" s="37">
        <v>513876</v>
      </c>
      <c r="AF56" s="37"/>
      <c r="AG56" s="37">
        <v>480133</v>
      </c>
      <c r="AH56" s="37"/>
      <c r="AI56" s="35"/>
      <c r="AJ56" s="55">
        <v>509470</v>
      </c>
      <c r="AK56" s="15"/>
      <c r="AL56" s="37">
        <v>480806</v>
      </c>
      <c r="AM56" s="31"/>
      <c r="AO56" s="55">
        <v>499725</v>
      </c>
      <c r="AP56" s="37"/>
      <c r="AQ56" s="37">
        <v>503793</v>
      </c>
      <c r="AR56" s="35"/>
      <c r="AS56" s="37">
        <v>491701</v>
      </c>
      <c r="AT56" s="35"/>
      <c r="AU56" s="35"/>
      <c r="AV56" s="55">
        <v>507014</v>
      </c>
      <c r="AW56" s="15"/>
      <c r="AX56" s="37">
        <v>483544</v>
      </c>
      <c r="AY56" s="31"/>
      <c r="AZ56" s="157"/>
    </row>
    <row r="57" spans="2:52" ht="12.75">
      <c r="B57" s="27" t="s">
        <v>84</v>
      </c>
      <c r="C57" s="27"/>
      <c r="D57" s="27"/>
      <c r="E57" s="55">
        <v>604002</v>
      </c>
      <c r="F57" s="15"/>
      <c r="G57" s="37">
        <v>590196</v>
      </c>
      <c r="H57" s="15"/>
      <c r="I57" s="37">
        <f>486198+97212</f>
        <v>583410</v>
      </c>
      <c r="J57" s="31"/>
      <c r="K57" s="31"/>
      <c r="L57" s="55">
        <v>604002</v>
      </c>
      <c r="M57" s="31"/>
      <c r="N57" s="37">
        <f>486198+97212</f>
        <v>583410</v>
      </c>
      <c r="O57" s="31"/>
      <c r="P57" s="154"/>
      <c r="Q57" s="55">
        <f>513876+98258</f>
        <v>612134</v>
      </c>
      <c r="R57" s="37"/>
      <c r="S57" s="37">
        <v>604002</v>
      </c>
      <c r="T57" s="37"/>
      <c r="U57" s="37">
        <f>476207+99960</f>
        <v>576167</v>
      </c>
      <c r="V57" s="37"/>
      <c r="W57" s="35"/>
      <c r="X57" s="55">
        <f>512357+95748</f>
        <v>608105</v>
      </c>
      <c r="Y57" s="37"/>
      <c r="Z57" s="37">
        <f>481203+98586</f>
        <v>579789</v>
      </c>
      <c r="AA57" s="31"/>
      <c r="AC57" s="55">
        <f>503793+102341</f>
        <v>606134</v>
      </c>
      <c r="AD57" s="37"/>
      <c r="AE57" s="37">
        <f>513876+98258</f>
        <v>612134</v>
      </c>
      <c r="AF57" s="37"/>
      <c r="AG57" s="37">
        <f>480133+97130</f>
        <v>577263</v>
      </c>
      <c r="AH57" s="37"/>
      <c r="AI57" s="35"/>
      <c r="AJ57" s="55">
        <f>509470+97970</f>
        <v>607440</v>
      </c>
      <c r="AK57" s="15"/>
      <c r="AL57" s="37">
        <f>480806+98116</f>
        <v>578922</v>
      </c>
      <c r="AM57" s="31"/>
      <c r="AO57" s="55">
        <v>604506</v>
      </c>
      <c r="AP57" s="37"/>
      <c r="AQ57" s="37">
        <f>503793+102341</f>
        <v>606134</v>
      </c>
      <c r="AR57" s="35"/>
      <c r="AS57" s="37">
        <v>590196</v>
      </c>
      <c r="AT57" s="35"/>
      <c r="AU57" s="35"/>
      <c r="AV57" s="55">
        <v>606700</v>
      </c>
      <c r="AW57" s="15"/>
      <c r="AX57" s="37">
        <v>581701</v>
      </c>
      <c r="AY57" s="31"/>
      <c r="AZ57" s="157"/>
    </row>
    <row r="58" spans="2:52" ht="12.75">
      <c r="B58" s="27" t="s">
        <v>157</v>
      </c>
      <c r="C58" s="27"/>
      <c r="D58" s="27"/>
      <c r="E58" s="55">
        <v>56051</v>
      </c>
      <c r="F58" s="15"/>
      <c r="G58" s="37">
        <v>49868</v>
      </c>
      <c r="H58" s="15"/>
      <c r="I58" s="37">
        <v>54624</v>
      </c>
      <c r="J58" s="31"/>
      <c r="K58" s="31"/>
      <c r="L58" s="55">
        <v>56051</v>
      </c>
      <c r="M58" s="31"/>
      <c r="N58" s="37">
        <v>54624</v>
      </c>
      <c r="O58" s="31"/>
      <c r="P58" s="154"/>
      <c r="Q58" s="55">
        <v>60876</v>
      </c>
      <c r="R58" s="37"/>
      <c r="S58" s="37">
        <v>56051</v>
      </c>
      <c r="T58" s="37"/>
      <c r="U58" s="37">
        <v>53535</v>
      </c>
      <c r="V58" s="37"/>
      <c r="W58" s="35"/>
      <c r="X58" s="55">
        <v>58477</v>
      </c>
      <c r="Y58" s="37"/>
      <c r="Z58" s="37">
        <v>54079</v>
      </c>
      <c r="AA58" s="31"/>
      <c r="AC58" s="55">
        <v>65341</v>
      </c>
      <c r="AD58" s="37"/>
      <c r="AE58" s="37">
        <v>60876</v>
      </c>
      <c r="AF58" s="37"/>
      <c r="AG58" s="37">
        <v>51038</v>
      </c>
      <c r="AH58" s="37"/>
      <c r="AI58" s="35"/>
      <c r="AJ58" s="55">
        <v>60790</v>
      </c>
      <c r="AK58" s="15"/>
      <c r="AL58" s="37">
        <v>53069</v>
      </c>
      <c r="AM58" s="31"/>
      <c r="AO58" s="55">
        <v>70014</v>
      </c>
      <c r="AP58" s="37"/>
      <c r="AQ58" s="37">
        <v>65341</v>
      </c>
      <c r="AR58" s="35"/>
      <c r="AS58" s="37">
        <v>49868</v>
      </c>
      <c r="AT58" s="35"/>
      <c r="AU58" s="35"/>
      <c r="AV58" s="55">
        <v>63115</v>
      </c>
      <c r="AW58" s="37"/>
      <c r="AX58" s="37">
        <v>52264</v>
      </c>
      <c r="AY58" s="31"/>
      <c r="AZ58" s="157"/>
    </row>
    <row r="59" spans="2:52" ht="12.75">
      <c r="B59" s="27" t="s">
        <v>166</v>
      </c>
      <c r="C59" s="27"/>
      <c r="D59" s="27"/>
      <c r="E59" s="55">
        <v>2071</v>
      </c>
      <c r="F59" s="15"/>
      <c r="G59" s="37">
        <v>6788</v>
      </c>
      <c r="H59" s="15"/>
      <c r="I59" s="37">
        <v>3091</v>
      </c>
      <c r="J59" s="31"/>
      <c r="K59" s="31"/>
      <c r="L59" s="55">
        <v>2071</v>
      </c>
      <c r="M59" s="31"/>
      <c r="N59" s="37">
        <v>3091</v>
      </c>
      <c r="O59" s="31"/>
      <c r="P59" s="154"/>
      <c r="Q59" s="55">
        <v>1553</v>
      </c>
      <c r="R59" s="37"/>
      <c r="S59" s="37">
        <v>2071</v>
      </c>
      <c r="T59" s="37"/>
      <c r="U59" s="37">
        <v>14765</v>
      </c>
      <c r="V59" s="37"/>
      <c r="W59" s="35"/>
      <c r="X59" s="55">
        <v>1811</v>
      </c>
      <c r="Y59" s="37"/>
      <c r="Z59" s="37">
        <v>8928</v>
      </c>
      <c r="AA59" s="31"/>
      <c r="AC59" s="55">
        <v>460</v>
      </c>
      <c r="AD59" s="37"/>
      <c r="AE59" s="37">
        <v>1553</v>
      </c>
      <c r="AF59" s="37"/>
      <c r="AG59" s="37">
        <v>17589</v>
      </c>
      <c r="AH59" s="37"/>
      <c r="AI59" s="35"/>
      <c r="AJ59" s="55">
        <v>1355</v>
      </c>
      <c r="AK59" s="15"/>
      <c r="AL59" s="37">
        <v>11808</v>
      </c>
      <c r="AM59" s="31"/>
      <c r="AO59" s="55">
        <v>91</v>
      </c>
      <c r="AP59" s="37"/>
      <c r="AQ59" s="37">
        <v>460</v>
      </c>
      <c r="AR59" s="35"/>
      <c r="AS59" s="37">
        <v>3788</v>
      </c>
      <c r="AT59" s="35"/>
      <c r="AU59" s="35"/>
      <c r="AV59" s="55">
        <v>1037</v>
      </c>
      <c r="AW59" s="37"/>
      <c r="AX59" s="37">
        <v>9818</v>
      </c>
      <c r="AY59" s="31"/>
      <c r="AZ59" s="157"/>
    </row>
    <row r="60" spans="2:52" ht="12.75">
      <c r="B60" s="27" t="s">
        <v>167</v>
      </c>
      <c r="C60" s="27"/>
      <c r="D60" s="27"/>
      <c r="E60" s="55">
        <v>34398</v>
      </c>
      <c r="F60" s="15"/>
      <c r="G60" s="37">
        <v>34436</v>
      </c>
      <c r="H60" s="15"/>
      <c r="I60" s="37">
        <f>33870-3091</f>
        <v>30779</v>
      </c>
      <c r="J60" s="31"/>
      <c r="K60" s="31"/>
      <c r="L60" s="55">
        <v>34398</v>
      </c>
      <c r="M60" s="31"/>
      <c r="N60" s="37">
        <f>33870-3091</f>
        <v>30779</v>
      </c>
      <c r="O60" s="31"/>
      <c r="P60" s="154"/>
      <c r="Q60" s="55">
        <v>30460</v>
      </c>
      <c r="R60" s="37"/>
      <c r="S60" s="37">
        <v>34398</v>
      </c>
      <c r="T60" s="37"/>
      <c r="U60" s="37">
        <v>37247</v>
      </c>
      <c r="V60" s="37"/>
      <c r="W60" s="35"/>
      <c r="X60" s="55">
        <v>32418</v>
      </c>
      <c r="Y60" s="37"/>
      <c r="Z60" s="37">
        <v>34013</v>
      </c>
      <c r="AA60" s="31"/>
      <c r="AC60" s="55">
        <v>29325</v>
      </c>
      <c r="AD60" s="37"/>
      <c r="AE60" s="37">
        <v>30460</v>
      </c>
      <c r="AF60" s="37"/>
      <c r="AG60" s="37">
        <v>34474</v>
      </c>
      <c r="AH60" s="37"/>
      <c r="AI60" s="35"/>
      <c r="AJ60" s="55">
        <v>31376</v>
      </c>
      <c r="AK60" s="15"/>
      <c r="AL60" s="37">
        <f>46003-11808</f>
        <v>34195</v>
      </c>
      <c r="AM60" s="31"/>
      <c r="AO60" s="55">
        <v>29287</v>
      </c>
      <c r="AP60" s="37"/>
      <c r="AQ60" s="37">
        <v>29325</v>
      </c>
      <c r="AR60" s="35"/>
      <c r="AS60" s="37">
        <v>34436</v>
      </c>
      <c r="AT60" s="35"/>
      <c r="AU60" s="35"/>
      <c r="AV60" s="55">
        <v>30849</v>
      </c>
      <c r="AW60" s="37"/>
      <c r="AX60" s="37">
        <v>34235</v>
      </c>
      <c r="AY60" s="31"/>
      <c r="AZ60" s="157"/>
    </row>
    <row r="61" spans="2:52" ht="12.75">
      <c r="B61" s="27" t="s">
        <v>85</v>
      </c>
      <c r="C61" s="27"/>
      <c r="D61" s="27"/>
      <c r="E61" s="55">
        <v>102845</v>
      </c>
      <c r="F61" s="15"/>
      <c r="G61" s="37">
        <v>103126</v>
      </c>
      <c r="H61" s="15"/>
      <c r="I61" s="37">
        <v>102342</v>
      </c>
      <c r="J61" s="31"/>
      <c r="K61" s="31"/>
      <c r="L61" s="55">
        <v>102845</v>
      </c>
      <c r="M61" s="31"/>
      <c r="N61" s="37">
        <v>102342</v>
      </c>
      <c r="O61" s="31"/>
      <c r="P61" s="154"/>
      <c r="Q61" s="55">
        <v>102862</v>
      </c>
      <c r="R61" s="37"/>
      <c r="S61" s="37">
        <v>102845</v>
      </c>
      <c r="T61" s="37"/>
      <c r="U61" s="37">
        <v>102511</v>
      </c>
      <c r="V61" s="37"/>
      <c r="W61" s="35"/>
      <c r="X61" s="55">
        <v>102854</v>
      </c>
      <c r="Y61" s="37"/>
      <c r="Z61" s="37">
        <v>102410</v>
      </c>
      <c r="AA61" s="31"/>
      <c r="AC61" s="55">
        <v>103411</v>
      </c>
      <c r="AD61" s="37"/>
      <c r="AE61" s="37">
        <v>102862</v>
      </c>
      <c r="AF61" s="37"/>
      <c r="AG61" s="37">
        <v>102052</v>
      </c>
      <c r="AH61" s="37"/>
      <c r="AI61" s="35"/>
      <c r="AJ61" s="55">
        <v>103060</v>
      </c>
      <c r="AK61" s="15"/>
      <c r="AL61" s="37">
        <v>102290</v>
      </c>
      <c r="AM61" s="31"/>
      <c r="AO61" s="55">
        <v>105302</v>
      </c>
      <c r="AP61" s="37"/>
      <c r="AQ61" s="37">
        <v>103411</v>
      </c>
      <c r="AR61" s="35"/>
      <c r="AS61" s="37">
        <v>103126</v>
      </c>
      <c r="AT61" s="35"/>
      <c r="AU61" s="35"/>
      <c r="AV61" s="55">
        <v>103625</v>
      </c>
      <c r="AW61" s="37"/>
      <c r="AX61" s="37">
        <v>102917</v>
      </c>
      <c r="AY61" s="31"/>
      <c r="AZ61" s="157"/>
    </row>
    <row r="62" spans="2:53" ht="12.75">
      <c r="B62" s="27" t="s">
        <v>86</v>
      </c>
      <c r="C62" s="27"/>
      <c r="D62" s="27"/>
      <c r="E62" s="55">
        <f>+E61-E53</f>
        <v>78338</v>
      </c>
      <c r="F62" s="15"/>
      <c r="G62" s="37">
        <f>+G61-G53</f>
        <v>78526</v>
      </c>
      <c r="H62" s="15"/>
      <c r="I62" s="37">
        <f>+I61-I53</f>
        <v>77478</v>
      </c>
      <c r="J62" s="15"/>
      <c r="K62" s="15"/>
      <c r="L62" s="55">
        <f>+L61-L53</f>
        <v>78338</v>
      </c>
      <c r="M62" s="15"/>
      <c r="N62" s="37">
        <f>+N61-N53</f>
        <v>77478</v>
      </c>
      <c r="O62" s="15"/>
      <c r="P62" s="154" t="s">
        <v>228</v>
      </c>
      <c r="Q62" s="55">
        <f>+Q61-Q53</f>
        <v>78456</v>
      </c>
      <c r="R62" s="37"/>
      <c r="S62" s="37">
        <f>+S61-S53</f>
        <v>78338</v>
      </c>
      <c r="T62" s="37"/>
      <c r="U62" s="37">
        <f>+U61-U53</f>
        <v>77726</v>
      </c>
      <c r="V62" s="37"/>
      <c r="W62" s="35"/>
      <c r="X62" s="55">
        <f>+X61-X53</f>
        <v>78398</v>
      </c>
      <c r="Y62" s="37"/>
      <c r="Z62" s="37">
        <f>+Z61-Z53</f>
        <v>77585</v>
      </c>
      <c r="AA62" s="31"/>
      <c r="AC62" s="55">
        <f>+AC61-AC53</f>
        <v>79097</v>
      </c>
      <c r="AD62" s="37"/>
      <c r="AE62" s="37">
        <f>+AE61-AE53</f>
        <v>78456</v>
      </c>
      <c r="AF62" s="37"/>
      <c r="AG62" s="37">
        <f>+AG61-AG53</f>
        <v>77357</v>
      </c>
      <c r="AH62" s="37"/>
      <c r="AI62" s="35"/>
      <c r="AJ62" s="55">
        <f>+AJ61-AJ53</f>
        <v>78652</v>
      </c>
      <c r="AK62" s="15"/>
      <c r="AL62" s="37">
        <f>+AL61-AL53</f>
        <v>77509</v>
      </c>
      <c r="AM62" s="31"/>
      <c r="AO62" s="55">
        <f>+AO61-AO53</f>
        <v>81085</v>
      </c>
      <c r="AP62" s="37"/>
      <c r="AQ62" s="37">
        <f>+AQ61-AQ53</f>
        <v>79097</v>
      </c>
      <c r="AR62" s="35"/>
      <c r="AS62" s="37">
        <f>+AS61-AS53</f>
        <v>78526</v>
      </c>
      <c r="AT62" s="35"/>
      <c r="AU62" s="35"/>
      <c r="AV62" s="55">
        <f>+AV61-AV53</f>
        <v>79265</v>
      </c>
      <c r="AW62" s="37"/>
      <c r="AX62" s="37">
        <f>+AX61-AX53</f>
        <v>78181</v>
      </c>
      <c r="AY62" s="31"/>
      <c r="AZ62" s="157"/>
      <c r="BA62" s="2" t="s">
        <v>228</v>
      </c>
    </row>
    <row r="63" spans="2:53" ht="12.75">
      <c r="B63" s="27"/>
      <c r="C63" s="27"/>
      <c r="D63" s="27"/>
      <c r="E63" s="55"/>
      <c r="F63" s="15"/>
      <c r="G63" s="37"/>
      <c r="H63" s="15"/>
      <c r="I63" s="15"/>
      <c r="J63" s="31"/>
      <c r="K63" s="31"/>
      <c r="L63" s="55"/>
      <c r="M63" s="31"/>
      <c r="N63" s="15"/>
      <c r="O63" s="31"/>
      <c r="P63" s="154"/>
      <c r="Q63" s="55"/>
      <c r="R63" s="37"/>
      <c r="S63" s="37"/>
      <c r="T63" s="37"/>
      <c r="U63" s="37"/>
      <c r="V63" s="37"/>
      <c r="W63" s="35"/>
      <c r="X63" s="55"/>
      <c r="Y63" s="37"/>
      <c r="Z63" s="37"/>
      <c r="AA63" s="31"/>
      <c r="AC63" s="55"/>
      <c r="AD63" s="37"/>
      <c r="AE63" s="37"/>
      <c r="AF63" s="37"/>
      <c r="AG63" s="37"/>
      <c r="AH63" s="37"/>
      <c r="AI63" s="35"/>
      <c r="AJ63" s="55"/>
      <c r="AK63" s="15"/>
      <c r="AL63" s="15"/>
      <c r="AM63" s="31"/>
      <c r="AO63" s="55"/>
      <c r="AP63" s="37"/>
      <c r="AQ63" s="37"/>
      <c r="AR63" s="35"/>
      <c r="AS63" s="37"/>
      <c r="AT63" s="35"/>
      <c r="AU63" s="35"/>
      <c r="AV63" s="55"/>
      <c r="AW63" s="15"/>
      <c r="AX63" s="37"/>
      <c r="AY63" s="31"/>
      <c r="AZ63" s="157"/>
      <c r="BA63" s="31"/>
    </row>
    <row r="64" spans="1:53" ht="12.75">
      <c r="A64" s="1" t="s">
        <v>91</v>
      </c>
      <c r="B64" s="27"/>
      <c r="C64" s="27"/>
      <c r="D64" s="27"/>
      <c r="E64" s="55"/>
      <c r="F64" s="15"/>
      <c r="G64" s="15"/>
      <c r="H64" s="15"/>
      <c r="I64" s="15"/>
      <c r="J64" s="31"/>
      <c r="K64" s="31"/>
      <c r="L64" s="55"/>
      <c r="M64" s="31"/>
      <c r="N64" s="15"/>
      <c r="O64" s="31"/>
      <c r="P64" s="154"/>
      <c r="Q64" s="55"/>
      <c r="R64" s="37"/>
      <c r="S64" s="37"/>
      <c r="T64" s="37"/>
      <c r="U64" s="37"/>
      <c r="V64" s="37"/>
      <c r="W64" s="35"/>
      <c r="X64" s="55"/>
      <c r="Y64" s="37"/>
      <c r="Z64" s="37"/>
      <c r="AA64" s="31"/>
      <c r="AC64" s="55"/>
      <c r="AD64" s="37"/>
      <c r="AE64" s="37"/>
      <c r="AF64" s="37"/>
      <c r="AG64" s="37"/>
      <c r="AH64" s="37"/>
      <c r="AI64" s="35"/>
      <c r="AJ64" s="55"/>
      <c r="AK64" s="15"/>
      <c r="AL64" s="15"/>
      <c r="AM64" s="31"/>
      <c r="AO64" s="55"/>
      <c r="AP64" s="37"/>
      <c r="AQ64" s="37"/>
      <c r="AR64" s="35"/>
      <c r="AS64" s="37"/>
      <c r="AT64" s="35"/>
      <c r="AU64" s="35"/>
      <c r="AV64" s="55"/>
      <c r="AW64" s="15"/>
      <c r="AX64" s="15"/>
      <c r="AY64" s="31"/>
      <c r="AZ64" s="157"/>
      <c r="BA64" s="31"/>
    </row>
    <row r="65" spans="2:53" ht="12.75">
      <c r="B65" s="27" t="s">
        <v>92</v>
      </c>
      <c r="C65" s="27"/>
      <c r="D65" s="27"/>
      <c r="E65" s="61">
        <v>6081998</v>
      </c>
      <c r="F65" s="31"/>
      <c r="G65" s="15">
        <v>6086868</v>
      </c>
      <c r="H65" s="15"/>
      <c r="I65" s="31">
        <v>6107832</v>
      </c>
      <c r="J65" s="31"/>
      <c r="K65" s="31"/>
      <c r="L65" s="61">
        <v>6081998</v>
      </c>
      <c r="M65" s="31"/>
      <c r="N65" s="31">
        <v>6107832</v>
      </c>
      <c r="O65" s="31"/>
      <c r="P65" s="154"/>
      <c r="Q65" s="55">
        <v>6096034</v>
      </c>
      <c r="R65" s="37"/>
      <c r="S65" s="35">
        <v>6081998</v>
      </c>
      <c r="T65" s="37"/>
      <c r="U65" s="37">
        <v>6098184</v>
      </c>
      <c r="V65" s="37"/>
      <c r="W65" s="35"/>
      <c r="X65" s="55">
        <v>6089055</v>
      </c>
      <c r="Y65" s="37"/>
      <c r="Z65" s="37">
        <v>6103008</v>
      </c>
      <c r="AA65" s="31"/>
      <c r="AC65" s="55">
        <v>6104505</v>
      </c>
      <c r="AD65" s="37"/>
      <c r="AE65" s="37">
        <v>6096034</v>
      </c>
      <c r="AF65" s="37"/>
      <c r="AG65" s="37">
        <v>6093851</v>
      </c>
      <c r="AH65" s="37"/>
      <c r="AI65" s="35"/>
      <c r="AJ65" s="55">
        <v>6094261</v>
      </c>
      <c r="AK65" s="15"/>
      <c r="AL65" s="15">
        <v>6099933</v>
      </c>
      <c r="AM65" s="31"/>
      <c r="AO65" s="55">
        <v>6108340</v>
      </c>
      <c r="AP65" s="37"/>
      <c r="AQ65" s="37">
        <v>6104505</v>
      </c>
      <c r="AR65" s="35"/>
      <c r="AS65" s="37">
        <v>6086868</v>
      </c>
      <c r="AT65" s="35"/>
      <c r="AU65" s="35"/>
      <c r="AV65" s="55">
        <v>6097810</v>
      </c>
      <c r="AW65" s="15"/>
      <c r="AX65" s="15">
        <v>6096649</v>
      </c>
      <c r="AY65" s="31"/>
      <c r="AZ65" s="157"/>
      <c r="BA65" s="31"/>
    </row>
    <row r="66" spans="2:53" ht="12.75">
      <c r="B66" s="27" t="s">
        <v>93</v>
      </c>
      <c r="C66" s="27"/>
      <c r="D66" s="27"/>
      <c r="E66" s="61">
        <v>6085457</v>
      </c>
      <c r="F66" s="31"/>
      <c r="G66" s="15">
        <v>6090844</v>
      </c>
      <c r="H66" s="15"/>
      <c r="I66" s="31">
        <v>6121285</v>
      </c>
      <c r="J66" s="31"/>
      <c r="K66" s="31"/>
      <c r="L66" s="61">
        <v>6085457</v>
      </c>
      <c r="M66" s="31"/>
      <c r="N66" s="31">
        <v>6121285</v>
      </c>
      <c r="O66" s="31"/>
      <c r="P66" s="154"/>
      <c r="Q66" s="55">
        <v>6097047</v>
      </c>
      <c r="R66" s="37"/>
      <c r="S66" s="35">
        <v>6085457</v>
      </c>
      <c r="T66" s="37"/>
      <c r="U66" s="37">
        <v>6108536</v>
      </c>
      <c r="V66" s="37"/>
      <c r="W66" s="35"/>
      <c r="X66" s="55">
        <v>6091291</v>
      </c>
      <c r="Y66" s="37"/>
      <c r="Z66" s="37">
        <v>6114911</v>
      </c>
      <c r="AA66" s="31"/>
      <c r="AC66" s="55">
        <v>6111913</v>
      </c>
      <c r="AD66" s="37"/>
      <c r="AE66" s="37">
        <v>6097047</v>
      </c>
      <c r="AF66" s="37"/>
      <c r="AG66" s="37">
        <v>6100089</v>
      </c>
      <c r="AH66" s="37"/>
      <c r="AI66" s="35"/>
      <c r="AJ66" s="55">
        <v>6098221</v>
      </c>
      <c r="AK66" s="15"/>
      <c r="AL66" s="15">
        <v>6109947</v>
      </c>
      <c r="AM66" s="31"/>
      <c r="AO66" s="55">
        <v>6116800</v>
      </c>
      <c r="AP66" s="37"/>
      <c r="AQ66" s="37">
        <v>6111913</v>
      </c>
      <c r="AR66" s="35"/>
      <c r="AS66" s="37">
        <v>6090844</v>
      </c>
      <c r="AT66" s="35"/>
      <c r="AU66" s="35"/>
      <c r="AV66" s="55">
        <v>6102895</v>
      </c>
      <c r="AW66" s="15"/>
      <c r="AX66" s="15">
        <v>6105154</v>
      </c>
      <c r="AY66" s="31"/>
      <c r="AZ66" s="157"/>
      <c r="BA66" s="31"/>
    </row>
    <row r="67" spans="2:53" ht="12.75">
      <c r="B67" s="27" t="s">
        <v>94</v>
      </c>
      <c r="C67" s="27"/>
      <c r="D67" s="27"/>
      <c r="E67" s="55">
        <v>7600</v>
      </c>
      <c r="F67" s="15"/>
      <c r="G67" s="15">
        <v>7100</v>
      </c>
      <c r="H67" s="15"/>
      <c r="I67" s="15">
        <v>28800</v>
      </c>
      <c r="J67" s="31"/>
      <c r="K67" s="31"/>
      <c r="L67" s="55">
        <v>7600</v>
      </c>
      <c r="M67" s="31"/>
      <c r="N67" s="15">
        <v>28800</v>
      </c>
      <c r="O67" s="31"/>
      <c r="P67" s="154"/>
      <c r="Q67" s="55">
        <v>0</v>
      </c>
      <c r="R67" s="37"/>
      <c r="S67" s="37">
        <v>7600</v>
      </c>
      <c r="T67" s="37"/>
      <c r="U67" s="37">
        <v>2400</v>
      </c>
      <c r="V67" s="37"/>
      <c r="W67" s="35"/>
      <c r="X67" s="55">
        <v>7600</v>
      </c>
      <c r="Y67" s="37"/>
      <c r="Z67" s="37">
        <v>31200</v>
      </c>
      <c r="AA67" s="31"/>
      <c r="AC67" s="55">
        <v>0</v>
      </c>
      <c r="AD67" s="37"/>
      <c r="AE67" s="37">
        <v>0</v>
      </c>
      <c r="AF67" s="37"/>
      <c r="AG67" s="37">
        <v>7850</v>
      </c>
      <c r="AH67" s="37"/>
      <c r="AI67" s="35"/>
      <c r="AJ67" s="55">
        <v>7600</v>
      </c>
      <c r="AK67" s="15"/>
      <c r="AL67" s="15">
        <v>39050</v>
      </c>
      <c r="AM67" s="31"/>
      <c r="AO67" s="55">
        <v>0</v>
      </c>
      <c r="AP67" s="37"/>
      <c r="AQ67" s="37">
        <v>0</v>
      </c>
      <c r="AR67" s="35"/>
      <c r="AS67" s="37">
        <v>7100</v>
      </c>
      <c r="AT67" s="35"/>
      <c r="AU67" s="35"/>
      <c r="AV67" s="55">
        <v>7600</v>
      </c>
      <c r="AW67" s="15"/>
      <c r="AX67" s="15">
        <v>46150</v>
      </c>
      <c r="AY67" s="31"/>
      <c r="AZ67" s="157"/>
      <c r="BA67" s="31"/>
    </row>
    <row r="68" spans="2:53" ht="12.75">
      <c r="B68" s="27" t="s">
        <v>95</v>
      </c>
      <c r="C68" s="27"/>
      <c r="D68" s="27"/>
      <c r="E68" s="62">
        <v>15.92</v>
      </c>
      <c r="F68" s="15"/>
      <c r="G68" s="22">
        <v>16.4</v>
      </c>
      <c r="H68" s="15"/>
      <c r="I68" s="22">
        <v>20.8</v>
      </c>
      <c r="J68" s="31"/>
      <c r="K68" s="31"/>
      <c r="L68" s="62">
        <v>15.92</v>
      </c>
      <c r="M68" s="31"/>
      <c r="N68" s="22">
        <v>20.8</v>
      </c>
      <c r="O68" s="31"/>
      <c r="P68" s="154"/>
      <c r="Q68" s="62">
        <v>0</v>
      </c>
      <c r="R68" s="37"/>
      <c r="S68" s="67">
        <v>15.92</v>
      </c>
      <c r="T68" s="37"/>
      <c r="U68" s="67">
        <v>21.43</v>
      </c>
      <c r="V68" s="37"/>
      <c r="W68" s="35"/>
      <c r="X68" s="62">
        <v>15.92</v>
      </c>
      <c r="Y68" s="37"/>
      <c r="Z68" s="67">
        <v>20.85</v>
      </c>
      <c r="AA68" s="31"/>
      <c r="AC68" s="62">
        <v>0</v>
      </c>
      <c r="AD68" s="37"/>
      <c r="AE68" s="67">
        <v>0</v>
      </c>
      <c r="AF68" s="37"/>
      <c r="AG68" s="67">
        <v>17.42</v>
      </c>
      <c r="AH68" s="37"/>
      <c r="AI68" s="35"/>
      <c r="AJ68" s="62">
        <v>15.92</v>
      </c>
      <c r="AK68" s="15"/>
      <c r="AL68" s="22">
        <v>20.16</v>
      </c>
      <c r="AM68" s="31"/>
      <c r="AO68" s="62">
        <v>0</v>
      </c>
      <c r="AP68" s="37"/>
      <c r="AQ68" s="67">
        <v>0</v>
      </c>
      <c r="AR68" s="35"/>
      <c r="AS68" s="67">
        <v>16.4</v>
      </c>
      <c r="AT68" s="35"/>
      <c r="AU68" s="35"/>
      <c r="AV68" s="62">
        <v>15.92</v>
      </c>
      <c r="AW68" s="15"/>
      <c r="AX68" s="22">
        <v>19.58</v>
      </c>
      <c r="AY68" s="31"/>
      <c r="AZ68" s="157"/>
      <c r="BA68" s="31"/>
    </row>
    <row r="69" spans="2:53" ht="12.75">
      <c r="B69" s="27"/>
      <c r="C69" s="27"/>
      <c r="D69" s="27"/>
      <c r="E69" s="61"/>
      <c r="F69" s="31"/>
      <c r="G69" s="31"/>
      <c r="H69" s="31"/>
      <c r="I69" s="31"/>
      <c r="J69" s="31"/>
      <c r="K69" s="31"/>
      <c r="L69" s="61"/>
      <c r="M69" s="31"/>
      <c r="N69" s="31"/>
      <c r="O69" s="31"/>
      <c r="P69" s="154"/>
      <c r="Q69" s="61"/>
      <c r="R69" s="35"/>
      <c r="S69" s="35"/>
      <c r="T69" s="35"/>
      <c r="U69" s="35"/>
      <c r="V69" s="35"/>
      <c r="W69" s="35"/>
      <c r="X69" s="61"/>
      <c r="Y69" s="35"/>
      <c r="Z69" s="35"/>
      <c r="AA69" s="31"/>
      <c r="AC69" s="61"/>
      <c r="AD69" s="35"/>
      <c r="AE69" s="35"/>
      <c r="AF69" s="35"/>
      <c r="AG69" s="35"/>
      <c r="AH69" s="35"/>
      <c r="AI69" s="35"/>
      <c r="AJ69" s="61"/>
      <c r="AK69" s="31"/>
      <c r="AL69" s="31"/>
      <c r="AM69" s="31"/>
      <c r="AO69" s="61"/>
      <c r="AP69" s="35"/>
      <c r="AQ69" s="35"/>
      <c r="AR69" s="35"/>
      <c r="AS69" s="35"/>
      <c r="AT69" s="35"/>
      <c r="AU69" s="35"/>
      <c r="AV69" s="61"/>
      <c r="AW69" s="31"/>
      <c r="AX69" s="31"/>
      <c r="AY69" s="31"/>
      <c r="AZ69" s="155"/>
      <c r="BA69" s="31"/>
    </row>
    <row r="70" spans="1:53" ht="12.75">
      <c r="A70" s="1" t="s">
        <v>96</v>
      </c>
      <c r="B70" s="27"/>
      <c r="C70" s="27"/>
      <c r="D70" s="27"/>
      <c r="E70" s="61"/>
      <c r="F70" s="31"/>
      <c r="G70" s="31"/>
      <c r="H70" s="31"/>
      <c r="I70" s="31"/>
      <c r="J70" s="31"/>
      <c r="K70" s="31"/>
      <c r="L70" s="61"/>
      <c r="M70" s="31"/>
      <c r="N70" s="31"/>
      <c r="O70" s="31"/>
      <c r="P70" s="154"/>
      <c r="Q70" s="61"/>
      <c r="R70" s="35"/>
      <c r="S70" s="35"/>
      <c r="T70" s="35"/>
      <c r="U70" s="35"/>
      <c r="V70" s="35"/>
      <c r="W70" s="35"/>
      <c r="X70" s="61"/>
      <c r="Y70" s="35"/>
      <c r="Z70" s="35"/>
      <c r="AA70" s="31"/>
      <c r="AC70" s="61"/>
      <c r="AD70" s="35"/>
      <c r="AE70" s="35"/>
      <c r="AF70" s="35"/>
      <c r="AG70" s="35"/>
      <c r="AH70" s="35"/>
      <c r="AI70" s="35"/>
      <c r="AJ70" s="61"/>
      <c r="AK70" s="31"/>
      <c r="AL70" s="31"/>
      <c r="AM70" s="31"/>
      <c r="AO70" s="61"/>
      <c r="AP70" s="35"/>
      <c r="AQ70" s="35"/>
      <c r="AR70" s="35"/>
      <c r="AS70" s="35"/>
      <c r="AT70" s="35"/>
      <c r="AU70" s="35"/>
      <c r="AV70" s="61"/>
      <c r="AW70" s="31"/>
      <c r="AX70" s="31"/>
      <c r="AY70" s="31"/>
      <c r="AZ70" s="155"/>
      <c r="BA70" s="31"/>
    </row>
    <row r="71" spans="2:53" ht="12.75">
      <c r="B71" s="27" t="s">
        <v>97</v>
      </c>
      <c r="C71" s="27"/>
      <c r="D71" s="27"/>
      <c r="E71" s="56">
        <v>7824</v>
      </c>
      <c r="F71" s="31"/>
      <c r="G71" s="21">
        <v>8083</v>
      </c>
      <c r="H71" s="31"/>
      <c r="I71" s="21">
        <v>7395</v>
      </c>
      <c r="J71" s="31"/>
      <c r="K71" s="31"/>
      <c r="L71" s="56">
        <v>7824</v>
      </c>
      <c r="M71" s="31"/>
      <c r="N71" s="21">
        <v>7395</v>
      </c>
      <c r="O71" s="31"/>
      <c r="P71" s="154"/>
      <c r="Q71" s="56">
        <v>7836</v>
      </c>
      <c r="R71" s="35"/>
      <c r="S71" s="36">
        <v>7824</v>
      </c>
      <c r="T71" s="35"/>
      <c r="U71" s="36">
        <v>7425</v>
      </c>
      <c r="V71" s="35"/>
      <c r="W71" s="35"/>
      <c r="X71" s="56">
        <v>7824</v>
      </c>
      <c r="Y71" s="35"/>
      <c r="Z71" s="36">
        <v>7395</v>
      </c>
      <c r="AA71" s="31"/>
      <c r="AC71" s="56">
        <v>7934</v>
      </c>
      <c r="AD71" s="35"/>
      <c r="AE71" s="36">
        <v>7836</v>
      </c>
      <c r="AF71" s="35"/>
      <c r="AG71" s="36">
        <v>7932</v>
      </c>
      <c r="AH71" s="35"/>
      <c r="AI71" s="35"/>
      <c r="AJ71" s="56">
        <v>7824</v>
      </c>
      <c r="AK71" s="31"/>
      <c r="AL71" s="21">
        <v>7395</v>
      </c>
      <c r="AM71" s="31"/>
      <c r="AO71" s="56">
        <v>8260</v>
      </c>
      <c r="AP71" s="35"/>
      <c r="AQ71" s="36">
        <v>7934</v>
      </c>
      <c r="AR71" s="35"/>
      <c r="AS71" s="36">
        <v>8083</v>
      </c>
      <c r="AT71" s="35"/>
      <c r="AU71" s="35"/>
      <c r="AV71" s="56">
        <v>7824</v>
      </c>
      <c r="AW71" s="31"/>
      <c r="AX71" s="21">
        <v>7395</v>
      </c>
      <c r="AY71" s="31"/>
      <c r="AZ71" s="157"/>
      <c r="BA71" s="31"/>
    </row>
    <row r="72" spans="2:53" ht="12.75">
      <c r="B72" s="27" t="s">
        <v>62</v>
      </c>
      <c r="C72" s="27"/>
      <c r="D72" s="27"/>
      <c r="E72" s="61">
        <v>350</v>
      </c>
      <c r="F72" s="31"/>
      <c r="G72" s="31">
        <v>600</v>
      </c>
      <c r="H72" s="31"/>
      <c r="I72" s="31">
        <v>140</v>
      </c>
      <c r="J72" s="31"/>
      <c r="K72" s="31"/>
      <c r="L72" s="61">
        <v>350</v>
      </c>
      <c r="M72" s="31"/>
      <c r="N72" s="31">
        <v>140</v>
      </c>
      <c r="O72" s="31"/>
      <c r="P72" s="154"/>
      <c r="Q72" s="55">
        <v>492</v>
      </c>
      <c r="R72" s="35"/>
      <c r="S72" s="35">
        <v>350</v>
      </c>
      <c r="T72" s="35"/>
      <c r="U72" s="37">
        <v>600</v>
      </c>
      <c r="V72" s="35"/>
      <c r="W72" s="35"/>
      <c r="X72" s="61">
        <v>842</v>
      </c>
      <c r="Y72" s="35"/>
      <c r="Z72" s="35">
        <v>740</v>
      </c>
      <c r="AA72" s="31"/>
      <c r="AC72" s="84">
        <v>492</v>
      </c>
      <c r="AD72" s="35"/>
      <c r="AE72" s="37">
        <v>492</v>
      </c>
      <c r="AF72" s="35"/>
      <c r="AG72" s="85">
        <v>280</v>
      </c>
      <c r="AH72" s="35"/>
      <c r="AI72" s="35"/>
      <c r="AJ72" s="61">
        <v>1334</v>
      </c>
      <c r="AK72" s="31"/>
      <c r="AL72" s="31">
        <v>1020</v>
      </c>
      <c r="AM72" s="31"/>
      <c r="AO72" s="61">
        <v>328</v>
      </c>
      <c r="AP72" s="35"/>
      <c r="AQ72" s="85">
        <v>492</v>
      </c>
      <c r="AR72" s="35"/>
      <c r="AS72" s="35">
        <v>600</v>
      </c>
      <c r="AT72" s="35"/>
      <c r="AU72" s="35"/>
      <c r="AV72" s="61">
        <v>1662</v>
      </c>
      <c r="AW72" s="31"/>
      <c r="AX72" s="31">
        <v>1620</v>
      </c>
      <c r="AY72" s="31"/>
      <c r="AZ72" s="157"/>
      <c r="BA72" s="31"/>
    </row>
    <row r="73" spans="2:53" ht="12.75">
      <c r="B73" s="27" t="s">
        <v>98</v>
      </c>
      <c r="C73" s="27"/>
      <c r="D73" s="27"/>
      <c r="E73" s="61">
        <v>-376</v>
      </c>
      <c r="F73" s="31"/>
      <c r="G73" s="31">
        <v>-1012</v>
      </c>
      <c r="H73" s="31"/>
      <c r="I73" s="35">
        <v>-170</v>
      </c>
      <c r="J73" s="31"/>
      <c r="K73" s="31"/>
      <c r="L73" s="61">
        <v>-376</v>
      </c>
      <c r="M73" s="31"/>
      <c r="N73" s="35">
        <v>-170</v>
      </c>
      <c r="O73" s="31"/>
      <c r="P73" s="154"/>
      <c r="Q73" s="61">
        <v>-422</v>
      </c>
      <c r="R73" s="35"/>
      <c r="S73" s="35">
        <v>-376</v>
      </c>
      <c r="T73" s="35"/>
      <c r="U73" s="35">
        <v>-203</v>
      </c>
      <c r="V73" s="35"/>
      <c r="W73" s="35"/>
      <c r="X73" s="61">
        <v>-798</v>
      </c>
      <c r="Y73" s="35"/>
      <c r="Z73" s="35">
        <v>-373</v>
      </c>
      <c r="AA73" s="31"/>
      <c r="AC73" s="61">
        <v>-318</v>
      </c>
      <c r="AD73" s="35"/>
      <c r="AE73" s="35">
        <v>-422</v>
      </c>
      <c r="AF73" s="35"/>
      <c r="AG73" s="35">
        <v>-179</v>
      </c>
      <c r="AH73" s="35"/>
      <c r="AI73" s="35"/>
      <c r="AJ73" s="61">
        <v>-1116</v>
      </c>
      <c r="AK73" s="31"/>
      <c r="AL73" s="31">
        <v>-552</v>
      </c>
      <c r="AM73" s="31"/>
      <c r="AO73" s="61">
        <v>-485</v>
      </c>
      <c r="AP73" s="35"/>
      <c r="AQ73" s="35">
        <v>-318</v>
      </c>
      <c r="AR73" s="35"/>
      <c r="AS73" s="35">
        <v>-1012</v>
      </c>
      <c r="AT73" s="35"/>
      <c r="AU73" s="35"/>
      <c r="AV73" s="61">
        <v>-1601</v>
      </c>
      <c r="AW73" s="31"/>
      <c r="AX73" s="31">
        <v>-1564</v>
      </c>
      <c r="AY73" s="31"/>
      <c r="AZ73" s="157"/>
      <c r="BA73" s="31"/>
    </row>
    <row r="74" spans="2:53" ht="12.75">
      <c r="B74" s="27" t="s">
        <v>99</v>
      </c>
      <c r="C74" s="27"/>
      <c r="D74" s="27"/>
      <c r="E74" s="60">
        <v>38</v>
      </c>
      <c r="F74" s="31"/>
      <c r="G74" s="86">
        <v>153</v>
      </c>
      <c r="H74" s="31"/>
      <c r="I74" s="59">
        <v>60</v>
      </c>
      <c r="J74" s="31"/>
      <c r="K74" s="31"/>
      <c r="L74" s="60">
        <v>38</v>
      </c>
      <c r="M74" s="31"/>
      <c r="N74" s="59">
        <v>60</v>
      </c>
      <c r="O74" s="31"/>
      <c r="P74" s="154"/>
      <c r="Q74" s="60">
        <v>28</v>
      </c>
      <c r="R74" s="35"/>
      <c r="S74" s="59">
        <v>38</v>
      </c>
      <c r="T74" s="35"/>
      <c r="U74" s="59">
        <v>110</v>
      </c>
      <c r="V74" s="35"/>
      <c r="W74" s="35"/>
      <c r="X74" s="60">
        <v>66</v>
      </c>
      <c r="Y74" s="35"/>
      <c r="Z74" s="59">
        <v>170</v>
      </c>
      <c r="AA74" s="31"/>
      <c r="AC74" s="60">
        <v>152</v>
      </c>
      <c r="AD74" s="35"/>
      <c r="AE74" s="59">
        <v>28</v>
      </c>
      <c r="AF74" s="35"/>
      <c r="AG74" s="59">
        <v>50</v>
      </c>
      <c r="AH74" s="35"/>
      <c r="AI74" s="35"/>
      <c r="AJ74" s="60">
        <v>218</v>
      </c>
      <c r="AK74" s="31"/>
      <c r="AL74" s="86">
        <v>220</v>
      </c>
      <c r="AM74" s="31"/>
      <c r="AO74" s="60">
        <v>63</v>
      </c>
      <c r="AP74" s="35"/>
      <c r="AQ74" s="59">
        <v>152</v>
      </c>
      <c r="AR74" s="35"/>
      <c r="AS74" s="59">
        <v>153</v>
      </c>
      <c r="AT74" s="35"/>
      <c r="AU74" s="35"/>
      <c r="AV74" s="60">
        <v>281</v>
      </c>
      <c r="AW74" s="31"/>
      <c r="AX74" s="86">
        <v>373</v>
      </c>
      <c r="AY74" s="31"/>
      <c r="AZ74" s="157"/>
      <c r="BA74" s="31"/>
    </row>
    <row r="75" spans="2:53" ht="12.75">
      <c r="B75" s="27" t="s">
        <v>100</v>
      </c>
      <c r="C75" s="27"/>
      <c r="D75" s="27"/>
      <c r="E75" s="56">
        <f>SUM(E71:E74)</f>
        <v>7836</v>
      </c>
      <c r="F75" s="31"/>
      <c r="G75" s="21">
        <f>SUM(G71:G74)</f>
        <v>7824</v>
      </c>
      <c r="H75" s="31"/>
      <c r="I75" s="21">
        <f>SUM(I71:I74)</f>
        <v>7425</v>
      </c>
      <c r="J75" s="31"/>
      <c r="K75" s="31"/>
      <c r="L75" s="56">
        <f>SUM(L71:L74)</f>
        <v>7836</v>
      </c>
      <c r="M75" s="31"/>
      <c r="N75" s="21">
        <f>SUM(N71:N74)</f>
        <v>7425</v>
      </c>
      <c r="O75" s="31"/>
      <c r="P75" s="154"/>
      <c r="Q75" s="56">
        <f>SUM(Q71:Q74)</f>
        <v>7934</v>
      </c>
      <c r="R75" s="35"/>
      <c r="S75" s="36">
        <f>SUM(S71:S74)</f>
        <v>7836</v>
      </c>
      <c r="T75" s="35"/>
      <c r="U75" s="36">
        <f>SUM(U71:U74)</f>
        <v>7932</v>
      </c>
      <c r="V75" s="35"/>
      <c r="W75" s="35"/>
      <c r="X75" s="56">
        <f>SUM(X71:X74)</f>
        <v>7934</v>
      </c>
      <c r="Y75" s="35"/>
      <c r="Z75" s="36">
        <f>SUM(Z71:Z74)</f>
        <v>7932</v>
      </c>
      <c r="AA75" s="31"/>
      <c r="AC75" s="56">
        <f>SUM(AC71:AC74)</f>
        <v>8260</v>
      </c>
      <c r="AD75" s="35"/>
      <c r="AE75" s="36">
        <f>SUM(AE71:AE74)</f>
        <v>7934</v>
      </c>
      <c r="AF75" s="35"/>
      <c r="AG75" s="36">
        <f>SUM(AG71:AG74)</f>
        <v>8083</v>
      </c>
      <c r="AH75" s="35"/>
      <c r="AI75" s="35"/>
      <c r="AJ75" s="56">
        <f>SUM(AJ71:AJ74)</f>
        <v>8260</v>
      </c>
      <c r="AK75" s="31"/>
      <c r="AL75" s="21">
        <f>SUM(AL71:AL74)</f>
        <v>8083</v>
      </c>
      <c r="AM75" s="31"/>
      <c r="AO75" s="56">
        <f>SUM(AO71:AO74)</f>
        <v>8166</v>
      </c>
      <c r="AP75" s="35"/>
      <c r="AQ75" s="36">
        <f>SUM(AQ71:AQ74)</f>
        <v>8260</v>
      </c>
      <c r="AR75" s="35"/>
      <c r="AS75" s="36">
        <f>SUM(AS71:AS74)</f>
        <v>7824</v>
      </c>
      <c r="AT75" s="35"/>
      <c r="AU75" s="35"/>
      <c r="AV75" s="56">
        <f>SUM(AV71:AV74)</f>
        <v>8166</v>
      </c>
      <c r="AW75" s="31"/>
      <c r="AX75" s="21">
        <f>SUM(AX71:AX74)</f>
        <v>7824</v>
      </c>
      <c r="AY75" s="31"/>
      <c r="AZ75" s="157"/>
      <c r="BA75" s="31"/>
    </row>
    <row r="76" spans="2:53" ht="12.75">
      <c r="B76" s="27"/>
      <c r="C76" s="27"/>
      <c r="D76" s="27"/>
      <c r="E76" s="56"/>
      <c r="F76" s="31"/>
      <c r="G76" s="21"/>
      <c r="H76" s="31"/>
      <c r="I76" s="21"/>
      <c r="J76" s="31"/>
      <c r="K76" s="31"/>
      <c r="L76" s="56"/>
      <c r="M76" s="31"/>
      <c r="N76" s="21"/>
      <c r="O76" s="31"/>
      <c r="P76" s="154"/>
      <c r="Q76" s="56"/>
      <c r="R76" s="35"/>
      <c r="S76" s="36"/>
      <c r="T76" s="35"/>
      <c r="U76" s="36"/>
      <c r="V76" s="35"/>
      <c r="W76" s="35"/>
      <c r="X76" s="56"/>
      <c r="Y76" s="35"/>
      <c r="Z76" s="36"/>
      <c r="AA76" s="31"/>
      <c r="AC76" s="56"/>
      <c r="AD76" s="35"/>
      <c r="AE76" s="36"/>
      <c r="AF76" s="35"/>
      <c r="AG76" s="36"/>
      <c r="AH76" s="35"/>
      <c r="AI76" s="35"/>
      <c r="AJ76" s="56"/>
      <c r="AK76" s="31"/>
      <c r="AL76" s="21"/>
      <c r="AM76" s="31"/>
      <c r="AO76" s="56"/>
      <c r="AP76" s="35"/>
      <c r="AQ76" s="36"/>
      <c r="AR76" s="35"/>
      <c r="AS76" s="36"/>
      <c r="AT76" s="35"/>
      <c r="AU76" s="35"/>
      <c r="AV76" s="56"/>
      <c r="AW76" s="31"/>
      <c r="AX76" s="21"/>
      <c r="AY76" s="31"/>
      <c r="AZ76" s="157"/>
      <c r="BA76" s="31"/>
    </row>
    <row r="77" spans="1:53" ht="12.75">
      <c r="A77" s="1" t="s">
        <v>149</v>
      </c>
      <c r="B77" s="27"/>
      <c r="C77" s="27"/>
      <c r="D77" s="27"/>
      <c r="E77" s="56"/>
      <c r="F77" s="31"/>
      <c r="G77" s="21"/>
      <c r="H77" s="31"/>
      <c r="I77" s="21"/>
      <c r="J77" s="31"/>
      <c r="K77" s="31"/>
      <c r="L77" s="56"/>
      <c r="M77" s="31"/>
      <c r="N77" s="21"/>
      <c r="O77" s="31"/>
      <c r="P77" s="154"/>
      <c r="Q77" s="56"/>
      <c r="R77" s="35"/>
      <c r="S77" s="36"/>
      <c r="T77" s="35"/>
      <c r="U77" s="36"/>
      <c r="V77" s="35"/>
      <c r="W77" s="35"/>
      <c r="X77" s="56"/>
      <c r="Y77" s="35"/>
      <c r="Z77" s="36"/>
      <c r="AA77" s="31"/>
      <c r="AC77" s="56"/>
      <c r="AD77" s="35"/>
      <c r="AE77" s="36"/>
      <c r="AF77" s="35"/>
      <c r="AG77" s="36"/>
      <c r="AH77" s="35"/>
      <c r="AI77" s="35"/>
      <c r="AJ77" s="56"/>
      <c r="AK77" s="31"/>
      <c r="AL77" s="21"/>
      <c r="AM77" s="31"/>
      <c r="AO77" s="56"/>
      <c r="AP77" s="35"/>
      <c r="AQ77" s="36"/>
      <c r="AR77" s="35"/>
      <c r="AS77" s="36"/>
      <c r="AT77" s="35"/>
      <c r="AU77" s="35"/>
      <c r="AV77" s="56"/>
      <c r="AW77" s="31"/>
      <c r="AX77" s="21"/>
      <c r="AY77" s="31"/>
      <c r="AZ77" s="157"/>
      <c r="BA77" s="31"/>
    </row>
    <row r="78" spans="2:53" ht="12.75">
      <c r="B78" s="27" t="s">
        <v>150</v>
      </c>
      <c r="C78" s="27"/>
      <c r="D78" s="27"/>
      <c r="E78" s="36">
        <v>53579</v>
      </c>
      <c r="F78" s="31"/>
      <c r="G78" s="21">
        <v>63361</v>
      </c>
      <c r="H78" s="31"/>
      <c r="I78" s="21">
        <v>72001</v>
      </c>
      <c r="J78" s="31"/>
      <c r="K78" s="31"/>
      <c r="L78" s="36">
        <v>53579</v>
      </c>
      <c r="M78" s="31"/>
      <c r="N78" s="21">
        <v>72001</v>
      </c>
      <c r="O78" s="31"/>
      <c r="P78" s="154"/>
      <c r="Q78" s="56">
        <v>50930</v>
      </c>
      <c r="R78" s="35"/>
      <c r="S78" s="36">
        <v>53579</v>
      </c>
      <c r="T78" s="35"/>
      <c r="U78" s="36">
        <v>66740</v>
      </c>
      <c r="V78" s="35"/>
      <c r="W78" s="35"/>
      <c r="X78" s="56">
        <v>50930</v>
      </c>
      <c r="Y78" s="35"/>
      <c r="Z78" s="36">
        <v>66740</v>
      </c>
      <c r="AA78" s="31"/>
      <c r="AC78" s="56">
        <v>46175</v>
      </c>
      <c r="AD78" s="35"/>
      <c r="AE78" s="36">
        <v>50930</v>
      </c>
      <c r="AF78" s="35"/>
      <c r="AG78" s="36">
        <v>65826</v>
      </c>
      <c r="AH78" s="35"/>
      <c r="AI78" s="35"/>
      <c r="AJ78" s="56">
        <v>46175</v>
      </c>
      <c r="AK78" s="31"/>
      <c r="AL78" s="21">
        <v>65826</v>
      </c>
      <c r="AM78" s="31"/>
      <c r="AO78" s="56">
        <v>40371</v>
      </c>
      <c r="AP78" s="35"/>
      <c r="AQ78" s="36">
        <v>46175</v>
      </c>
      <c r="AR78" s="35"/>
      <c r="AS78" s="36">
        <v>63361</v>
      </c>
      <c r="AT78" s="35"/>
      <c r="AU78" s="35"/>
      <c r="AV78" s="56">
        <v>40371</v>
      </c>
      <c r="AW78" s="31"/>
      <c r="AX78" s="21">
        <v>63361</v>
      </c>
      <c r="AY78" s="31"/>
      <c r="AZ78" s="157"/>
      <c r="BA78" s="31"/>
    </row>
    <row r="79" spans="2:53" ht="12.75">
      <c r="B79" s="27" t="s">
        <v>151</v>
      </c>
      <c r="C79" s="27"/>
      <c r="D79" s="27"/>
      <c r="E79" s="37">
        <v>213508</v>
      </c>
      <c r="F79" s="31"/>
      <c r="G79" s="15">
        <v>207160</v>
      </c>
      <c r="H79" s="31"/>
      <c r="I79" s="15">
        <v>198698</v>
      </c>
      <c r="J79" s="31"/>
      <c r="K79" s="31"/>
      <c r="L79" s="37">
        <v>213508</v>
      </c>
      <c r="M79" s="31"/>
      <c r="N79" s="15">
        <v>198698</v>
      </c>
      <c r="O79" s="31"/>
      <c r="P79" s="154"/>
      <c r="Q79" s="55">
        <v>210832</v>
      </c>
      <c r="R79" s="35"/>
      <c r="S79" s="37">
        <v>213508</v>
      </c>
      <c r="T79" s="35"/>
      <c r="U79" s="37">
        <v>201102</v>
      </c>
      <c r="V79" s="35"/>
      <c r="W79" s="35"/>
      <c r="X79" s="55">
        <v>210832</v>
      </c>
      <c r="Y79" s="35"/>
      <c r="Z79" s="37">
        <v>201102</v>
      </c>
      <c r="AA79" s="31"/>
      <c r="AC79" s="55">
        <v>209470</v>
      </c>
      <c r="AD79" s="35"/>
      <c r="AE79" s="37">
        <v>210832</v>
      </c>
      <c r="AF79" s="35"/>
      <c r="AG79" s="37">
        <v>208046</v>
      </c>
      <c r="AH79" s="35"/>
      <c r="AI79" s="35"/>
      <c r="AJ79" s="55">
        <v>209470</v>
      </c>
      <c r="AK79" s="31"/>
      <c r="AL79" s="15">
        <v>208046</v>
      </c>
      <c r="AM79" s="31"/>
      <c r="AO79" s="55">
        <v>208066</v>
      </c>
      <c r="AP79" s="35"/>
      <c r="AQ79" s="37">
        <v>209470</v>
      </c>
      <c r="AR79" s="35"/>
      <c r="AS79" s="37">
        <v>207160</v>
      </c>
      <c r="AT79" s="35"/>
      <c r="AU79" s="35"/>
      <c r="AV79" s="55">
        <v>208066</v>
      </c>
      <c r="AW79" s="31"/>
      <c r="AX79" s="15">
        <v>207160</v>
      </c>
      <c r="AY79" s="31"/>
      <c r="AZ79" s="157"/>
      <c r="BA79" s="31"/>
    </row>
    <row r="80" spans="2:53" ht="12.75">
      <c r="B80" s="27" t="s">
        <v>152</v>
      </c>
      <c r="C80" s="27"/>
      <c r="D80" s="27"/>
      <c r="E80" s="37">
        <v>134510</v>
      </c>
      <c r="F80" s="31"/>
      <c r="G80" s="15">
        <v>136480</v>
      </c>
      <c r="H80" s="31"/>
      <c r="I80" s="15">
        <v>138384</v>
      </c>
      <c r="J80" s="31"/>
      <c r="K80" s="31"/>
      <c r="L80" s="37">
        <v>134510</v>
      </c>
      <c r="M80" s="31"/>
      <c r="N80" s="15">
        <v>138384</v>
      </c>
      <c r="O80" s="31"/>
      <c r="P80" s="154"/>
      <c r="Q80" s="55">
        <v>128835</v>
      </c>
      <c r="R80" s="35"/>
      <c r="S80" s="37">
        <v>134510</v>
      </c>
      <c r="T80" s="35"/>
      <c r="U80" s="37">
        <v>140024</v>
      </c>
      <c r="V80" s="35"/>
      <c r="W80" s="35"/>
      <c r="X80" s="55">
        <v>128835</v>
      </c>
      <c r="Y80" s="35"/>
      <c r="Z80" s="37">
        <v>140024</v>
      </c>
      <c r="AA80" s="31"/>
      <c r="AC80" s="55">
        <v>126392</v>
      </c>
      <c r="AD80" s="35"/>
      <c r="AE80" s="37">
        <v>128835</v>
      </c>
      <c r="AF80" s="35"/>
      <c r="AG80" s="37">
        <v>139683</v>
      </c>
      <c r="AH80" s="35"/>
      <c r="AI80" s="35"/>
      <c r="AJ80" s="55">
        <v>126392</v>
      </c>
      <c r="AK80" s="31"/>
      <c r="AL80" s="15">
        <v>139683</v>
      </c>
      <c r="AM80" s="31"/>
      <c r="AO80" s="55">
        <v>121639</v>
      </c>
      <c r="AP80" s="35"/>
      <c r="AQ80" s="37">
        <v>126392</v>
      </c>
      <c r="AR80" s="35"/>
      <c r="AS80" s="37">
        <v>136480</v>
      </c>
      <c r="AT80" s="35"/>
      <c r="AU80" s="35"/>
      <c r="AV80" s="55">
        <v>121639</v>
      </c>
      <c r="AW80" s="31"/>
      <c r="AX80" s="15">
        <v>136480</v>
      </c>
      <c r="AY80" s="31"/>
      <c r="AZ80" s="157"/>
      <c r="BA80" s="31"/>
    </row>
    <row r="81" spans="2:53" ht="12.75">
      <c r="B81" s="27" t="s">
        <v>153</v>
      </c>
      <c r="C81" s="27"/>
      <c r="D81" s="27"/>
      <c r="E81" s="37">
        <v>61459</v>
      </c>
      <c r="F81" s="31"/>
      <c r="G81" s="15">
        <v>57170</v>
      </c>
      <c r="H81" s="31"/>
      <c r="I81" s="15">
        <v>48958</v>
      </c>
      <c r="J81" s="31"/>
      <c r="K81" s="31"/>
      <c r="L81" s="37">
        <v>61459</v>
      </c>
      <c r="M81" s="31"/>
      <c r="N81" s="15">
        <v>48958</v>
      </c>
      <c r="O81" s="31"/>
      <c r="P81" s="154"/>
      <c r="Q81" s="55">
        <v>61818</v>
      </c>
      <c r="R81" s="35"/>
      <c r="S81" s="37">
        <v>61459</v>
      </c>
      <c r="T81" s="35"/>
      <c r="U81" s="37">
        <v>52773</v>
      </c>
      <c r="V81" s="35"/>
      <c r="W81" s="35"/>
      <c r="X81" s="55">
        <v>61818</v>
      </c>
      <c r="Y81" s="35"/>
      <c r="Z81" s="37">
        <v>52773</v>
      </c>
      <c r="AA81" s="31"/>
      <c r="AC81" s="55">
        <v>62519</v>
      </c>
      <c r="AD81" s="35"/>
      <c r="AE81" s="37">
        <v>61818</v>
      </c>
      <c r="AF81" s="35"/>
      <c r="AG81" s="37">
        <v>55665</v>
      </c>
      <c r="AH81" s="35"/>
      <c r="AI81" s="35"/>
      <c r="AJ81" s="55">
        <v>62519</v>
      </c>
      <c r="AK81" s="31"/>
      <c r="AL81" s="15">
        <v>55665</v>
      </c>
      <c r="AM81" s="31"/>
      <c r="AO81" s="55">
        <v>64678</v>
      </c>
      <c r="AP81" s="35"/>
      <c r="AQ81" s="37">
        <v>62519</v>
      </c>
      <c r="AR81" s="35"/>
      <c r="AS81" s="37">
        <v>57170</v>
      </c>
      <c r="AT81" s="35"/>
      <c r="AU81" s="35"/>
      <c r="AV81" s="55">
        <v>64678</v>
      </c>
      <c r="AW81" s="31"/>
      <c r="AX81" s="15">
        <v>57170</v>
      </c>
      <c r="AY81" s="31"/>
      <c r="AZ81" s="157"/>
      <c r="BA81" s="31"/>
    </row>
    <row r="82" spans="2:53" ht="12.75">
      <c r="B82" s="27" t="s">
        <v>154</v>
      </c>
      <c r="C82" s="27"/>
      <c r="D82" s="27"/>
      <c r="E82" s="37">
        <v>97259</v>
      </c>
      <c r="F82" s="31"/>
      <c r="G82" s="15">
        <v>98546</v>
      </c>
      <c r="H82" s="31"/>
      <c r="I82" s="15">
        <v>87199</v>
      </c>
      <c r="J82" s="31"/>
      <c r="K82" s="31"/>
      <c r="L82" s="37">
        <v>97259</v>
      </c>
      <c r="M82" s="31"/>
      <c r="N82" s="15">
        <v>87199</v>
      </c>
      <c r="O82" s="31"/>
      <c r="P82" s="154"/>
      <c r="Q82" s="55">
        <v>96978</v>
      </c>
      <c r="R82" s="35"/>
      <c r="S82" s="37">
        <v>97259</v>
      </c>
      <c r="T82" s="35"/>
      <c r="U82" s="37">
        <v>99603</v>
      </c>
      <c r="V82" s="35"/>
      <c r="W82" s="35"/>
      <c r="X82" s="55">
        <v>96978</v>
      </c>
      <c r="Y82" s="35"/>
      <c r="Z82" s="37">
        <v>99603</v>
      </c>
      <c r="AA82" s="31"/>
      <c r="AC82" s="55">
        <v>87226</v>
      </c>
      <c r="AD82" s="35"/>
      <c r="AE82" s="37">
        <v>96978</v>
      </c>
      <c r="AF82" s="35"/>
      <c r="AG82" s="37">
        <v>99139</v>
      </c>
      <c r="AH82" s="35"/>
      <c r="AI82" s="35"/>
      <c r="AJ82" s="55">
        <v>87226</v>
      </c>
      <c r="AK82" s="31"/>
      <c r="AL82" s="15">
        <v>99139</v>
      </c>
      <c r="AM82" s="31"/>
      <c r="AO82" s="55">
        <v>86312</v>
      </c>
      <c r="AP82" s="35"/>
      <c r="AQ82" s="37">
        <v>87226</v>
      </c>
      <c r="AR82" s="35"/>
      <c r="AS82" s="37">
        <v>98546</v>
      </c>
      <c r="AT82" s="35"/>
      <c r="AU82" s="35"/>
      <c r="AV82" s="55">
        <v>86312</v>
      </c>
      <c r="AW82" s="31"/>
      <c r="AX82" s="15">
        <v>98546</v>
      </c>
      <c r="AY82" s="31"/>
      <c r="AZ82" s="157"/>
      <c r="BA82" s="31"/>
    </row>
    <row r="83" spans="2:53" ht="12.75">
      <c r="B83" s="27" t="s">
        <v>120</v>
      </c>
      <c r="C83" s="27"/>
      <c r="D83" s="27"/>
      <c r="E83" s="63">
        <v>8688</v>
      </c>
      <c r="F83" s="31"/>
      <c r="G83" s="87">
        <v>8393</v>
      </c>
      <c r="H83" s="31"/>
      <c r="I83" s="87">
        <v>9427</v>
      </c>
      <c r="J83" s="31"/>
      <c r="K83" s="31"/>
      <c r="L83" s="63">
        <v>8688</v>
      </c>
      <c r="M83" s="31"/>
      <c r="N83" s="87">
        <v>9427</v>
      </c>
      <c r="O83" s="31"/>
      <c r="P83" s="154"/>
      <c r="Q83" s="80">
        <v>7649</v>
      </c>
      <c r="R83" s="35"/>
      <c r="S83" s="63">
        <v>8688</v>
      </c>
      <c r="T83" s="35"/>
      <c r="U83" s="63">
        <v>8588</v>
      </c>
      <c r="V83" s="35"/>
      <c r="W83" s="35"/>
      <c r="X83" s="80">
        <v>7649</v>
      </c>
      <c r="Y83" s="35"/>
      <c r="Z83" s="63">
        <v>8588</v>
      </c>
      <c r="AA83" s="31"/>
      <c r="AC83" s="80">
        <v>7406</v>
      </c>
      <c r="AD83" s="35"/>
      <c r="AE83" s="63">
        <v>7649</v>
      </c>
      <c r="AF83" s="35"/>
      <c r="AG83" s="63">
        <v>8239</v>
      </c>
      <c r="AH83" s="35"/>
      <c r="AI83" s="35"/>
      <c r="AJ83" s="80">
        <v>7406</v>
      </c>
      <c r="AK83" s="31"/>
      <c r="AL83" s="87">
        <v>8239</v>
      </c>
      <c r="AM83" s="31"/>
      <c r="AO83" s="80">
        <v>6925</v>
      </c>
      <c r="AP83" s="35"/>
      <c r="AQ83" s="63">
        <v>7406</v>
      </c>
      <c r="AR83" s="35"/>
      <c r="AS83" s="63">
        <v>8393</v>
      </c>
      <c r="AT83" s="35"/>
      <c r="AU83" s="35"/>
      <c r="AV83" s="80">
        <v>6925</v>
      </c>
      <c r="AW83" s="31"/>
      <c r="AX83" s="87">
        <v>8393</v>
      </c>
      <c r="AY83" s="31"/>
      <c r="AZ83" s="157"/>
      <c r="BA83" s="31"/>
    </row>
    <row r="84" spans="2:53" ht="12.75">
      <c r="B84" s="27" t="s">
        <v>155</v>
      </c>
      <c r="C84" s="27"/>
      <c r="D84" s="27"/>
      <c r="E84" s="64">
        <f>SUM(E78:E83)</f>
        <v>569003</v>
      </c>
      <c r="F84" s="31"/>
      <c r="G84" s="88">
        <f>SUM(G78:G83)</f>
        <v>571110</v>
      </c>
      <c r="H84" s="31"/>
      <c r="I84" s="88">
        <f>SUM(I78:I83)</f>
        <v>554667</v>
      </c>
      <c r="J84" s="31"/>
      <c r="K84" s="31"/>
      <c r="L84" s="64">
        <f>SUM(L78:L83)</f>
        <v>569003</v>
      </c>
      <c r="M84" s="31"/>
      <c r="N84" s="88">
        <f>SUM(N78:N83)</f>
        <v>554667</v>
      </c>
      <c r="O84" s="31"/>
      <c r="P84" s="154"/>
      <c r="Q84" s="81">
        <f>SUM(Q78:Q83)</f>
        <v>557042</v>
      </c>
      <c r="R84" s="35"/>
      <c r="S84" s="64">
        <f>SUM(S78:S83)</f>
        <v>569003</v>
      </c>
      <c r="T84" s="35"/>
      <c r="U84" s="64">
        <f>SUM(U78:U83)</f>
        <v>568830</v>
      </c>
      <c r="V84" s="35"/>
      <c r="W84" s="35"/>
      <c r="X84" s="81">
        <f>SUM(X78:X83)</f>
        <v>557042</v>
      </c>
      <c r="Y84" s="35"/>
      <c r="Z84" s="64">
        <f>SUM(Z78:Z83)</f>
        <v>568830</v>
      </c>
      <c r="AA84" s="31"/>
      <c r="AC84" s="81">
        <f>SUM(AC78:AC83)</f>
        <v>539188</v>
      </c>
      <c r="AD84" s="35"/>
      <c r="AE84" s="64">
        <f>SUM(AE78:AE83)</f>
        <v>557042</v>
      </c>
      <c r="AF84" s="35"/>
      <c r="AG84" s="64">
        <f>SUM(AG78:AG83)</f>
        <v>576598</v>
      </c>
      <c r="AH84" s="35"/>
      <c r="AI84" s="35"/>
      <c r="AJ84" s="81">
        <f>SUM(AJ78:AJ83)</f>
        <v>539188</v>
      </c>
      <c r="AK84" s="31"/>
      <c r="AL84" s="88">
        <f>SUM(AL78:AL83)</f>
        <v>576598</v>
      </c>
      <c r="AM84" s="31"/>
      <c r="AO84" s="81">
        <f>SUM(AO78:AO83)</f>
        <v>527991</v>
      </c>
      <c r="AP84" s="35"/>
      <c r="AQ84" s="64">
        <f>SUM(AQ78:AQ83)</f>
        <v>539188</v>
      </c>
      <c r="AR84" s="35"/>
      <c r="AS84" s="64">
        <f>SUM(AS78:AS83)</f>
        <v>571110</v>
      </c>
      <c r="AT84" s="35"/>
      <c r="AU84" s="35"/>
      <c r="AV84" s="81">
        <f>SUM(AV78:AV83)</f>
        <v>527991</v>
      </c>
      <c r="AW84" s="31"/>
      <c r="AX84" s="88">
        <f>SUM(AX78:AX83)</f>
        <v>571110</v>
      </c>
      <c r="AY84" s="31"/>
      <c r="AZ84" s="157"/>
      <c r="BA84" s="31"/>
    </row>
    <row r="85" spans="2:53" ht="12.75">
      <c r="B85" s="27"/>
      <c r="C85" s="27"/>
      <c r="D85" s="27"/>
      <c r="E85" s="35"/>
      <c r="F85" s="31"/>
      <c r="G85" s="31"/>
      <c r="H85" s="31"/>
      <c r="I85" s="31"/>
      <c r="J85" s="31"/>
      <c r="K85" s="31"/>
      <c r="L85" s="35"/>
      <c r="M85" s="31"/>
      <c r="N85" s="31"/>
      <c r="O85" s="31"/>
      <c r="P85" s="154"/>
      <c r="Q85" s="61"/>
      <c r="R85" s="35"/>
      <c r="S85" s="35"/>
      <c r="T85" s="35"/>
      <c r="U85" s="35"/>
      <c r="V85" s="35"/>
      <c r="W85" s="35"/>
      <c r="X85" s="61"/>
      <c r="Y85" s="35"/>
      <c r="Z85" s="35"/>
      <c r="AA85" s="31"/>
      <c r="AC85" s="61"/>
      <c r="AD85" s="35"/>
      <c r="AE85" s="35"/>
      <c r="AF85" s="35"/>
      <c r="AG85" s="35"/>
      <c r="AH85" s="35"/>
      <c r="AI85" s="35"/>
      <c r="AJ85" s="61"/>
      <c r="AK85" s="31"/>
      <c r="AL85" s="31"/>
      <c r="AM85" s="31"/>
      <c r="AO85" s="61"/>
      <c r="AP85" s="35"/>
      <c r="AQ85" s="35"/>
      <c r="AR85" s="35"/>
      <c r="AS85" s="35"/>
      <c r="AT85" s="35"/>
      <c r="AU85" s="35"/>
      <c r="AV85" s="61"/>
      <c r="AW85" s="31"/>
      <c r="AX85" s="31"/>
      <c r="AY85" s="31"/>
      <c r="AZ85" s="157"/>
      <c r="BA85" s="31"/>
    </row>
    <row r="86" spans="1:53" ht="12.75">
      <c r="A86" s="1" t="s">
        <v>148</v>
      </c>
      <c r="B86" s="27"/>
      <c r="C86" s="27"/>
      <c r="D86" s="27"/>
      <c r="E86" s="61"/>
      <c r="F86" s="31"/>
      <c r="G86" s="31"/>
      <c r="H86" s="31"/>
      <c r="I86" s="31"/>
      <c r="J86" s="31"/>
      <c r="K86" s="31"/>
      <c r="L86" s="61"/>
      <c r="M86" s="31"/>
      <c r="N86" s="31"/>
      <c r="O86" s="31"/>
      <c r="P86" s="154"/>
      <c r="Q86" s="61"/>
      <c r="R86" s="35"/>
      <c r="S86" s="35"/>
      <c r="T86" s="35"/>
      <c r="U86" s="35"/>
      <c r="V86" s="35"/>
      <c r="W86" s="35"/>
      <c r="X86" s="61"/>
      <c r="Y86" s="35"/>
      <c r="Z86" s="35"/>
      <c r="AA86" s="31"/>
      <c r="AC86" s="61"/>
      <c r="AD86" s="35"/>
      <c r="AE86" s="35"/>
      <c r="AF86" s="35"/>
      <c r="AG86" s="35"/>
      <c r="AH86" s="35"/>
      <c r="AI86" s="35"/>
      <c r="AJ86" s="61"/>
      <c r="AK86" s="31"/>
      <c r="AL86" s="31"/>
      <c r="AM86" s="31"/>
      <c r="AO86" s="61"/>
      <c r="AP86" s="35"/>
      <c r="AQ86" s="35"/>
      <c r="AR86" s="35"/>
      <c r="AS86" s="35"/>
      <c r="AT86" s="35"/>
      <c r="AU86" s="35"/>
      <c r="AV86" s="61"/>
      <c r="AW86" s="31"/>
      <c r="AX86" s="31"/>
      <c r="AY86" s="31"/>
      <c r="AZ86" s="157"/>
      <c r="BA86" s="31"/>
    </row>
    <row r="87" spans="2:48" ht="12.75">
      <c r="B87" s="27" t="s">
        <v>101</v>
      </c>
      <c r="C87" s="27"/>
      <c r="D87" s="27"/>
      <c r="E87" s="57"/>
      <c r="G87" s="27"/>
      <c r="H87" s="27"/>
      <c r="L87" s="57"/>
      <c r="Q87" s="57"/>
      <c r="X87" s="57"/>
      <c r="AC87" s="57"/>
      <c r="AD87" s="27"/>
      <c r="AF87" s="27"/>
      <c r="AG87" s="27"/>
      <c r="AH87" s="27"/>
      <c r="AI87" s="27"/>
      <c r="AJ87" s="57"/>
      <c r="AO87" s="57"/>
      <c r="AP87" s="27"/>
      <c r="AQ87" s="27"/>
      <c r="AR87" s="27"/>
      <c r="AS87" s="27"/>
      <c r="AT87" s="27"/>
      <c r="AU87" s="27"/>
      <c r="AV87" s="57"/>
    </row>
    <row r="88" spans="2:53" ht="12.75">
      <c r="B88" s="27" t="s">
        <v>102</v>
      </c>
      <c r="C88" s="27"/>
      <c r="D88" s="27"/>
      <c r="E88" s="56">
        <v>0</v>
      </c>
      <c r="G88" s="36">
        <v>0</v>
      </c>
      <c r="H88" s="28"/>
      <c r="I88" s="21">
        <v>0</v>
      </c>
      <c r="L88" s="56">
        <v>0</v>
      </c>
      <c r="N88" s="21">
        <v>0</v>
      </c>
      <c r="P88" s="154"/>
      <c r="Q88" s="56">
        <v>0</v>
      </c>
      <c r="R88" s="28"/>
      <c r="S88" s="36">
        <v>0</v>
      </c>
      <c r="T88" s="28"/>
      <c r="U88" s="36">
        <v>172</v>
      </c>
      <c r="X88" s="56">
        <v>0</v>
      </c>
      <c r="Y88" s="28"/>
      <c r="Z88" s="36">
        <v>172</v>
      </c>
      <c r="AC88" s="56">
        <v>0</v>
      </c>
      <c r="AD88" s="28"/>
      <c r="AE88" s="36">
        <v>0</v>
      </c>
      <c r="AF88" s="27"/>
      <c r="AG88" s="36">
        <v>0</v>
      </c>
      <c r="AH88" s="27"/>
      <c r="AI88" s="27"/>
      <c r="AJ88" s="56">
        <v>0</v>
      </c>
      <c r="AK88" s="4"/>
      <c r="AL88" s="36">
        <v>0</v>
      </c>
      <c r="AO88" s="56">
        <f>+AV88</f>
        <v>0</v>
      </c>
      <c r="AP88" s="28"/>
      <c r="AQ88" s="36">
        <v>0</v>
      </c>
      <c r="AR88" s="27"/>
      <c r="AS88" s="36">
        <f>+AZ88</f>
        <v>0</v>
      </c>
      <c r="AT88" s="27"/>
      <c r="AU88" s="27"/>
      <c r="AV88" s="56">
        <v>0</v>
      </c>
      <c r="AW88" s="4"/>
      <c r="AX88" s="36">
        <v>0</v>
      </c>
      <c r="AZ88" s="165"/>
      <c r="BA88" s="31"/>
    </row>
    <row r="89" spans="2:52" ht="12.75">
      <c r="B89" s="27" t="s">
        <v>103</v>
      </c>
      <c r="C89" s="27"/>
      <c r="D89" s="27"/>
      <c r="E89" s="61">
        <v>2821</v>
      </c>
      <c r="G89" s="31">
        <v>2845</v>
      </c>
      <c r="H89" s="28"/>
      <c r="I89" s="31">
        <v>2772</v>
      </c>
      <c r="L89" s="61">
        <v>2821</v>
      </c>
      <c r="N89" s="31">
        <v>2772</v>
      </c>
      <c r="Q89" s="61">
        <v>2745</v>
      </c>
      <c r="R89" s="28"/>
      <c r="S89" s="35">
        <v>2821</v>
      </c>
      <c r="T89" s="28"/>
      <c r="U89" s="35">
        <v>6216</v>
      </c>
      <c r="V89" s="28"/>
      <c r="X89" s="61">
        <v>2745</v>
      </c>
      <c r="Y89" s="28"/>
      <c r="Z89" s="35">
        <v>6216</v>
      </c>
      <c r="AC89" s="89">
        <v>3106</v>
      </c>
      <c r="AD89" s="28"/>
      <c r="AE89" s="35">
        <v>2745</v>
      </c>
      <c r="AF89" s="28"/>
      <c r="AG89" s="90">
        <v>6674</v>
      </c>
      <c r="AH89" s="28"/>
      <c r="AI89" s="27"/>
      <c r="AJ89" s="89">
        <v>3106</v>
      </c>
      <c r="AK89" s="4"/>
      <c r="AL89" s="90">
        <v>6674</v>
      </c>
      <c r="AO89" s="89">
        <f>+AV89</f>
        <v>3642</v>
      </c>
      <c r="AP89" s="28"/>
      <c r="AQ89" s="90">
        <v>3106</v>
      </c>
      <c r="AR89" s="28"/>
      <c r="AS89" s="90">
        <v>2845</v>
      </c>
      <c r="AT89" s="28"/>
      <c r="AU89" s="27"/>
      <c r="AV89" s="61">
        <v>3642</v>
      </c>
      <c r="AW89" s="4"/>
      <c r="AX89" s="31">
        <v>2845</v>
      </c>
      <c r="AZ89" s="157"/>
    </row>
    <row r="90" spans="2:52" ht="12.75">
      <c r="B90" s="27" t="s">
        <v>104</v>
      </c>
      <c r="C90" s="27"/>
      <c r="D90" s="27"/>
      <c r="E90" s="60">
        <v>3345</v>
      </c>
      <c r="G90" s="86">
        <v>4311</v>
      </c>
      <c r="H90" s="28"/>
      <c r="I90" s="86">
        <v>550</v>
      </c>
      <c r="L90" s="60">
        <v>3345</v>
      </c>
      <c r="N90" s="86">
        <v>550</v>
      </c>
      <c r="Q90" s="60">
        <v>4033</v>
      </c>
      <c r="R90" s="28"/>
      <c r="S90" s="59">
        <v>3345</v>
      </c>
      <c r="T90" s="28"/>
      <c r="U90" s="59">
        <v>558</v>
      </c>
      <c r="X90" s="60">
        <v>4033</v>
      </c>
      <c r="Y90" s="28"/>
      <c r="Z90" s="59">
        <v>558</v>
      </c>
      <c r="AC90" s="60">
        <v>4558</v>
      </c>
      <c r="AD90" s="28"/>
      <c r="AE90" s="59">
        <v>4033</v>
      </c>
      <c r="AF90" s="27"/>
      <c r="AG90" s="59">
        <v>707</v>
      </c>
      <c r="AH90" s="27"/>
      <c r="AI90" s="27"/>
      <c r="AJ90" s="60">
        <v>4558</v>
      </c>
      <c r="AK90" s="4"/>
      <c r="AL90" s="86">
        <v>707</v>
      </c>
      <c r="AO90" s="60">
        <v>3414</v>
      </c>
      <c r="AP90" s="28"/>
      <c r="AQ90" s="59">
        <v>4558</v>
      </c>
      <c r="AR90" s="27"/>
      <c r="AS90" s="59">
        <v>4311</v>
      </c>
      <c r="AT90" s="27"/>
      <c r="AU90" s="27"/>
      <c r="AV90" s="60">
        <v>3414</v>
      </c>
      <c r="AW90" s="4"/>
      <c r="AX90" s="86">
        <v>4311</v>
      </c>
      <c r="AZ90" s="157"/>
    </row>
    <row r="91" spans="2:52" ht="12.75">
      <c r="B91" s="2" t="s">
        <v>105</v>
      </c>
      <c r="E91" s="56">
        <f>SUM(E88:E90)</f>
        <v>6166</v>
      </c>
      <c r="G91" s="21">
        <f>SUM(G88:G90)</f>
        <v>7156</v>
      </c>
      <c r="H91" s="28"/>
      <c r="I91" s="21">
        <f>SUM(I88:I90)</f>
        <v>3322</v>
      </c>
      <c r="L91" s="56">
        <f>SUM(L88:L90)</f>
        <v>6166</v>
      </c>
      <c r="N91" s="21">
        <f>SUM(N88:N90)</f>
        <v>3322</v>
      </c>
      <c r="Q91" s="56">
        <f>SUM(Q88:Q90)</f>
        <v>6778</v>
      </c>
      <c r="R91" s="28"/>
      <c r="S91" s="36">
        <f>SUM(S88:S90)</f>
        <v>6166</v>
      </c>
      <c r="T91" s="28"/>
      <c r="U91" s="36">
        <f>SUM(U88:U90)</f>
        <v>6946</v>
      </c>
      <c r="X91" s="56">
        <f>SUM(X88:X90)</f>
        <v>6778</v>
      </c>
      <c r="Y91" s="28"/>
      <c r="Z91" s="36">
        <f>SUM(Z88:Z90)</f>
        <v>6946</v>
      </c>
      <c r="AC91" s="56">
        <f>SUM(AC88:AC90)</f>
        <v>7664</v>
      </c>
      <c r="AD91" s="28"/>
      <c r="AE91" s="36">
        <f>SUM(AE88:AE90)</f>
        <v>6778</v>
      </c>
      <c r="AF91" s="27"/>
      <c r="AG91" s="36">
        <f>SUM(AG88:AG90)</f>
        <v>7381</v>
      </c>
      <c r="AH91" s="27"/>
      <c r="AI91" s="27"/>
      <c r="AJ91" s="56">
        <f>SUM(AJ88:AJ90)</f>
        <v>7664</v>
      </c>
      <c r="AK91" s="4"/>
      <c r="AL91" s="21">
        <f>SUM(AL88:AL90)</f>
        <v>7381</v>
      </c>
      <c r="AO91" s="56">
        <f>SUM(AO88:AO90)</f>
        <v>7056</v>
      </c>
      <c r="AP91" s="28"/>
      <c r="AQ91" s="36">
        <f>SUM(AQ88:AQ90)</f>
        <v>7664</v>
      </c>
      <c r="AR91" s="27"/>
      <c r="AS91" s="36">
        <f>SUM(AS88:AS90)</f>
        <v>7156</v>
      </c>
      <c r="AT91" s="27"/>
      <c r="AU91" s="27"/>
      <c r="AV91" s="56">
        <f>SUM(AV88:AV90)</f>
        <v>7056</v>
      </c>
      <c r="AW91" s="4"/>
      <c r="AX91" s="21">
        <f>SUM(AX88:AX90)</f>
        <v>7156</v>
      </c>
      <c r="AZ91" s="157"/>
    </row>
    <row r="92" spans="5:48" ht="12.75">
      <c r="E92" s="57"/>
      <c r="H92" s="27"/>
      <c r="L92" s="57"/>
      <c r="Q92" s="57"/>
      <c r="X92" s="57"/>
      <c r="AC92" s="57"/>
      <c r="AD92" s="27"/>
      <c r="AF92" s="27"/>
      <c r="AG92" s="27"/>
      <c r="AH92" s="27"/>
      <c r="AI92" s="27"/>
      <c r="AJ92" s="57"/>
      <c r="AO92" s="57"/>
      <c r="AP92" s="27"/>
      <c r="AQ92" s="27"/>
      <c r="AR92" s="27"/>
      <c r="AS92" s="27"/>
      <c r="AT92" s="27"/>
      <c r="AU92" s="27"/>
      <c r="AV92" s="57"/>
    </row>
    <row r="93" spans="1:53" ht="12.75">
      <c r="A93" s="1" t="s">
        <v>106</v>
      </c>
      <c r="E93" s="61"/>
      <c r="F93" s="31"/>
      <c r="G93" s="31"/>
      <c r="H93" s="31"/>
      <c r="I93" s="31"/>
      <c r="J93" s="31"/>
      <c r="K93" s="31"/>
      <c r="L93" s="61"/>
      <c r="M93" s="31"/>
      <c r="N93" s="31"/>
      <c r="O93" s="31"/>
      <c r="P93" s="154"/>
      <c r="Q93" s="61"/>
      <c r="R93" s="35"/>
      <c r="S93" s="35"/>
      <c r="T93" s="35"/>
      <c r="U93" s="35"/>
      <c r="V93" s="35"/>
      <c r="W93" s="35"/>
      <c r="X93" s="61"/>
      <c r="Y93" s="35"/>
      <c r="Z93" s="35"/>
      <c r="AA93" s="31"/>
      <c r="AC93" s="61"/>
      <c r="AD93" s="35"/>
      <c r="AE93" s="35"/>
      <c r="AF93" s="35"/>
      <c r="AG93" s="35"/>
      <c r="AH93" s="35"/>
      <c r="AI93" s="35"/>
      <c r="AJ93" s="61"/>
      <c r="AK93" s="31"/>
      <c r="AL93" s="31"/>
      <c r="AM93" s="31"/>
      <c r="AO93" s="61"/>
      <c r="AP93" s="35"/>
      <c r="AQ93" s="35"/>
      <c r="AR93" s="35"/>
      <c r="AS93" s="35"/>
      <c r="AT93" s="35"/>
      <c r="AU93" s="35"/>
      <c r="AV93" s="61"/>
      <c r="AW93" s="31"/>
      <c r="AX93" s="31"/>
      <c r="AY93" s="31"/>
      <c r="AZ93" s="155"/>
      <c r="BA93" s="31"/>
    </row>
    <row r="94" spans="2:54" ht="12.75">
      <c r="B94" s="2" t="s">
        <v>158</v>
      </c>
      <c r="E94" s="54">
        <f>ROUND((-E73-E74)*4/+E51*100,2)</f>
        <v>0.24</v>
      </c>
      <c r="F94" s="34" t="s">
        <v>35</v>
      </c>
      <c r="G94" s="33">
        <f>ROUND((-G73-G74)*4/+G51*100,2)</f>
        <v>0.6</v>
      </c>
      <c r="H94" s="33" t="s">
        <v>35</v>
      </c>
      <c r="I94" s="33">
        <f>ROUND((-I73-I74)*4/+I51*100,2)</f>
        <v>0.08</v>
      </c>
      <c r="J94" s="34" t="s">
        <v>35</v>
      </c>
      <c r="K94" s="34"/>
      <c r="L94" s="54">
        <f>ROUND((-L73-L74)*4/+L51*100,2)</f>
        <v>0.24</v>
      </c>
      <c r="M94" s="34" t="s">
        <v>35</v>
      </c>
      <c r="N94" s="33">
        <f>ROUND((-N73-N74)*4/+N51*100,2)</f>
        <v>0.08</v>
      </c>
      <c r="O94" s="34" t="s">
        <v>35</v>
      </c>
      <c r="P94" s="164"/>
      <c r="Q94" s="54">
        <f>ROUND((-Q73-Q74)*4/+Q51*100,2)</f>
        <v>0.28</v>
      </c>
      <c r="R94" s="33" t="s">
        <v>35</v>
      </c>
      <c r="S94" s="33">
        <f>ROUND((-S73-S74)*4/+S51*100,2)</f>
        <v>0.24</v>
      </c>
      <c r="T94" s="33" t="s">
        <v>35</v>
      </c>
      <c r="U94" s="33">
        <f>ROUND((-U73-U74)*4/+U51*100,2)</f>
        <v>0.07</v>
      </c>
      <c r="V94" s="33" t="s">
        <v>35</v>
      </c>
      <c r="W94" s="33"/>
      <c r="X94" s="54">
        <f>ROUND((-X73-X74)*2/+X51*100,2)</f>
        <v>0.26</v>
      </c>
      <c r="Y94" s="33" t="s">
        <v>35</v>
      </c>
      <c r="Z94" s="33">
        <f>ROUND((-Z73-Z74)*2/+Z51*100,2)</f>
        <v>0.07</v>
      </c>
      <c r="AA94" s="34" t="s">
        <v>35</v>
      </c>
      <c r="AC94" s="54">
        <f>ROUND((-AC73-AC74)*4/+AC51*100,2)</f>
        <v>0.12</v>
      </c>
      <c r="AD94" s="33" t="s">
        <v>35</v>
      </c>
      <c r="AE94" s="33">
        <f>ROUND((-AE73-AE74)*4/+AE51*100,2)</f>
        <v>0.28</v>
      </c>
      <c r="AF94" s="33" t="s">
        <v>35</v>
      </c>
      <c r="AG94" s="33">
        <f>ROUND((-AG73-AG74)*4/+AG51*100,2)</f>
        <v>0.09</v>
      </c>
      <c r="AH94" s="33" t="s">
        <v>35</v>
      </c>
      <c r="AI94" s="33"/>
      <c r="AJ94" s="54">
        <f>ROUND((-AJ73-AJ74)*4/3/+AJ51*100,2)</f>
        <v>0.21</v>
      </c>
      <c r="AK94" s="34" t="s">
        <v>35</v>
      </c>
      <c r="AL94" s="33">
        <f>ROUND((-AL73-AL74)*4/3/+AL51*100,2)</f>
        <v>0.08</v>
      </c>
      <c r="AM94" s="34" t="s">
        <v>35</v>
      </c>
      <c r="AO94" s="54">
        <f>ROUND((-AO73-AO74)*4/+AO51*100,2)</f>
        <v>0.31</v>
      </c>
      <c r="AP94" s="33" t="s">
        <v>35</v>
      </c>
      <c r="AQ94" s="33">
        <f>ROUND((-AQ73-AQ74)*4/+AQ51*100,2)</f>
        <v>0.12</v>
      </c>
      <c r="AR94" s="33" t="s">
        <v>35</v>
      </c>
      <c r="AS94" s="33">
        <f>ROUND((-AS73-AS74)*4/+AS51*100,2)</f>
        <v>0.6</v>
      </c>
      <c r="AT94" s="33" t="s">
        <v>35</v>
      </c>
      <c r="AU94" s="33"/>
      <c r="AV94" s="54">
        <f>ROUND((-AV73-AV74)/+AV51*100,2)</f>
        <v>0.24</v>
      </c>
      <c r="AW94" s="33" t="s">
        <v>35</v>
      </c>
      <c r="AX94" s="33">
        <f>ROUND((-AX73-AX74)/+AX51*100,2)</f>
        <v>0.21</v>
      </c>
      <c r="AY94" s="33" t="s">
        <v>35</v>
      </c>
      <c r="AZ94" s="90"/>
      <c r="BA94" s="31" t="s">
        <v>228</v>
      </c>
      <c r="BB94" s="2" t="s">
        <v>230</v>
      </c>
    </row>
    <row r="95" spans="2:53" ht="12.75">
      <c r="B95" s="2" t="s">
        <v>159</v>
      </c>
      <c r="E95" s="54">
        <f>ROUND((+E91)/(+E39)*100,2)</f>
        <v>0.74</v>
      </c>
      <c r="G95" s="33">
        <f>ROUND((+G91)/(+G39)*100,2)</f>
        <v>0.91</v>
      </c>
      <c r="H95" s="33"/>
      <c r="I95" s="34">
        <f>ROUND((+I91)/(+I39)*100,2)</f>
        <v>0.42</v>
      </c>
      <c r="L95" s="54">
        <f>ROUND((+L91)/(+L39)*100,2)</f>
        <v>0.74</v>
      </c>
      <c r="N95" s="34">
        <f>ROUND((+N91)/(+N39)*100,2)</f>
        <v>0.42</v>
      </c>
      <c r="P95" s="154"/>
      <c r="Q95" s="54">
        <f>ROUND((+Q91)/(+Q39)*100,2)</f>
        <v>0.84</v>
      </c>
      <c r="R95" s="33"/>
      <c r="S95" s="33">
        <f>ROUND((+S91)/(+S39)*100,2)</f>
        <v>0.74</v>
      </c>
      <c r="T95" s="33"/>
      <c r="U95" s="33">
        <f>ROUND((+U91)/(+U39)*100,2)</f>
        <v>0.88</v>
      </c>
      <c r="V95" s="33"/>
      <c r="W95" s="35"/>
      <c r="X95" s="54">
        <f>ROUND((+X91)/(+X39)*100,2)</f>
        <v>0.84</v>
      </c>
      <c r="Y95" s="33"/>
      <c r="Z95" s="33">
        <f>ROUND((+Z91)/(+Z39)*100,2)</f>
        <v>0.88</v>
      </c>
      <c r="AA95" s="34"/>
      <c r="AC95" s="54">
        <f>ROUND((+AC91)/(+AC39)*100,2)</f>
        <v>0.95</v>
      </c>
      <c r="AD95" s="33"/>
      <c r="AE95" s="33">
        <f>ROUND((+AE91)/(+AE39)*100,2)</f>
        <v>0.84</v>
      </c>
      <c r="AF95" s="33"/>
      <c r="AG95" s="33">
        <f>ROUND((+AG91)/(+AG39)*100,2)</f>
        <v>0.92</v>
      </c>
      <c r="AH95" s="33"/>
      <c r="AI95" s="35"/>
      <c r="AJ95" s="54">
        <f>ROUND((+AJ91)/(+AJ39)*100,2)</f>
        <v>0.95</v>
      </c>
      <c r="AL95" s="34">
        <f>ROUND((+AL91)/(+AL39)*100,2)</f>
        <v>0.92</v>
      </c>
      <c r="AO95" s="54">
        <f>ROUND((+AO91)/(+AO39)*100,2)</f>
        <v>0.87</v>
      </c>
      <c r="AP95" s="33"/>
      <c r="AQ95" s="33">
        <f>ROUND((+AQ91)/(+AQ39)*100,2)</f>
        <v>0.95</v>
      </c>
      <c r="AR95" s="33"/>
      <c r="AS95" s="33">
        <f>ROUND((+AS91)/(+AS39)*100,2)</f>
        <v>0.91</v>
      </c>
      <c r="AT95" s="33"/>
      <c r="AU95" s="35"/>
      <c r="AV95" s="54">
        <f>ROUND((+AV91)/(+AV39)*100,2)</f>
        <v>0.87</v>
      </c>
      <c r="AW95" s="33"/>
      <c r="AX95" s="33">
        <f>ROUND((+AX91)/(+AX39)*100,2)</f>
        <v>0.91</v>
      </c>
      <c r="AY95" s="33"/>
      <c r="AZ95" s="90"/>
      <c r="BA95" s="31" t="s">
        <v>228</v>
      </c>
    </row>
    <row r="96" spans="2:54" ht="12.75">
      <c r="B96" s="2" t="s">
        <v>160</v>
      </c>
      <c r="E96" s="54">
        <f>ROUND((+E88+E89)/(+E37)*100,2)</f>
        <v>0.5</v>
      </c>
      <c r="F96" s="34"/>
      <c r="G96" s="33">
        <f>ROUND((+G88+G89)/(+G37)*100,2)</f>
        <v>0.5</v>
      </c>
      <c r="H96" s="33"/>
      <c r="I96" s="34">
        <f>ROUND((+I88+I89)/(+I37)*100,2)</f>
        <v>0.5</v>
      </c>
      <c r="J96" s="34"/>
      <c r="K96" s="34"/>
      <c r="L96" s="54">
        <f>ROUND((+L88+L89)/(+L37)*100,2)</f>
        <v>0.5</v>
      </c>
      <c r="M96" s="34"/>
      <c r="N96" s="34">
        <f>ROUND((+N88+N89)/(+N37)*100,2)</f>
        <v>0.5</v>
      </c>
      <c r="O96" s="34"/>
      <c r="P96" s="154"/>
      <c r="Q96" s="54">
        <f>ROUND((+Q88+Q89)/(+Q37)*100,2)</f>
        <v>0.49</v>
      </c>
      <c r="R96" s="33"/>
      <c r="S96" s="33">
        <f>ROUND((+S88+S89)/(+S37)*100,2)</f>
        <v>0.5</v>
      </c>
      <c r="T96" s="33"/>
      <c r="U96" s="33">
        <f>ROUND((+U88+U89)/(+U37)*100,2)</f>
        <v>1.12</v>
      </c>
      <c r="V96" s="33"/>
      <c r="W96" s="35"/>
      <c r="X96" s="54">
        <f>ROUND((+X88+X89)/(+X37)*100,2)</f>
        <v>0.49</v>
      </c>
      <c r="Y96" s="33"/>
      <c r="Z96" s="33">
        <f>ROUND((+Z88+Z89)/(+Z37)*100,2)</f>
        <v>1.12</v>
      </c>
      <c r="AA96" s="34"/>
      <c r="AC96" s="54">
        <f>ROUND((+AC88+AC89)/(+AC37)*100,2)</f>
        <v>0.58</v>
      </c>
      <c r="AD96" s="33"/>
      <c r="AE96" s="33">
        <f>ROUND((+AE88+AE89)/(+AE37)*100,2)</f>
        <v>0.49</v>
      </c>
      <c r="AF96" s="33"/>
      <c r="AG96" s="33">
        <f>ROUND((+AG88+AG89)/(+AG37)*100,2)</f>
        <v>1.16</v>
      </c>
      <c r="AH96" s="33"/>
      <c r="AI96" s="35"/>
      <c r="AJ96" s="54">
        <f>ROUND((+AJ88+AJ89)/(+AJ37)*100,2)</f>
        <v>0.58</v>
      </c>
      <c r="AK96" s="34"/>
      <c r="AL96" s="34">
        <f>ROUND((+AL88+AL89)/(+AL37)*100,2)</f>
        <v>1.16</v>
      </c>
      <c r="AM96" s="34"/>
      <c r="AO96" s="54">
        <f>ROUND((+AO88+AO89)/(+AO37)*100,2)</f>
        <v>0.69</v>
      </c>
      <c r="AP96" s="33"/>
      <c r="AQ96" s="33">
        <f>ROUND((+AQ88+AQ89)/(+AQ37)*100,2)</f>
        <v>0.58</v>
      </c>
      <c r="AR96" s="33"/>
      <c r="AS96" s="33">
        <f>ROUND((+AS88+AS89)/(+AS37)*100,2)</f>
        <v>0.5</v>
      </c>
      <c r="AT96" s="33"/>
      <c r="AU96" s="35"/>
      <c r="AV96" s="54">
        <f>ROUND((+AV88+AV89)/(+AV37)*100,2)</f>
        <v>0.69</v>
      </c>
      <c r="AW96" s="33"/>
      <c r="AX96" s="33">
        <f>ROUND((+AX88+AX89)/(+AX37)*100,2)</f>
        <v>0.5</v>
      </c>
      <c r="AY96" s="33"/>
      <c r="AZ96" s="90"/>
      <c r="BA96" s="31" t="s">
        <v>228</v>
      </c>
      <c r="BB96" s="2" t="s">
        <v>231</v>
      </c>
    </row>
    <row r="97" spans="2:54" ht="12.75">
      <c r="B97" s="2" t="s">
        <v>161</v>
      </c>
      <c r="E97" s="54">
        <f>ROUND(+E75/(+E37)*100,2)</f>
        <v>1.38</v>
      </c>
      <c r="F97" s="31"/>
      <c r="G97" s="33">
        <f>ROUND(+G75/(+G37)*100,2)</f>
        <v>1.37</v>
      </c>
      <c r="H97" s="35"/>
      <c r="I97" s="34">
        <f>ROUND(+I75/(+I37)*100,2)</f>
        <v>1.34</v>
      </c>
      <c r="J97" s="31"/>
      <c r="K97" s="31"/>
      <c r="L97" s="54">
        <f>ROUND(+L75/(+L37)*100,2)</f>
        <v>1.38</v>
      </c>
      <c r="M97" s="31"/>
      <c r="N97" s="34">
        <f>ROUND(+N75/(+N37)*100,2)</f>
        <v>1.34</v>
      </c>
      <c r="O97" s="31"/>
      <c r="P97" s="154"/>
      <c r="Q97" s="54">
        <f>ROUND(+Q75/(+Q37)*100,2)</f>
        <v>1.42</v>
      </c>
      <c r="R97" s="35"/>
      <c r="S97" s="33">
        <f>ROUND(+S75/(+S37)*100,2)</f>
        <v>1.38</v>
      </c>
      <c r="T97" s="35"/>
      <c r="U97" s="33">
        <f>ROUND(+U75/(+U37)*100,2)</f>
        <v>1.39</v>
      </c>
      <c r="V97" s="35"/>
      <c r="W97" s="35"/>
      <c r="X97" s="54">
        <f>ROUND(+X75/(+X37)*100,2)</f>
        <v>1.42</v>
      </c>
      <c r="Y97" s="35"/>
      <c r="Z97" s="33">
        <f>ROUND(+Z75/(+Z37)*100,2)</f>
        <v>1.39</v>
      </c>
      <c r="AA97" s="31"/>
      <c r="AC97" s="54">
        <f>ROUND(+AC75/(+AC37)*100,2)</f>
        <v>1.53</v>
      </c>
      <c r="AD97" s="35"/>
      <c r="AE97" s="33">
        <f>ROUND(+AE75/(+AE37)*100,2)</f>
        <v>1.42</v>
      </c>
      <c r="AF97" s="35"/>
      <c r="AG97" s="33">
        <f>ROUND(+AG75/(+AG37)*100,2)</f>
        <v>1.4</v>
      </c>
      <c r="AH97" s="35"/>
      <c r="AI97" s="35"/>
      <c r="AJ97" s="54">
        <f>ROUND(+AJ75/(+AJ37)*100,2)</f>
        <v>1.53</v>
      </c>
      <c r="AK97" s="31"/>
      <c r="AL97" s="34">
        <f>ROUND(+AL75/(+AL37)*100,2)</f>
        <v>1.4</v>
      </c>
      <c r="AM97" s="31"/>
      <c r="AO97" s="54">
        <f>ROUND(+AO75/(+AO37)*100,2)</f>
        <v>1.55</v>
      </c>
      <c r="AP97" s="35"/>
      <c r="AQ97" s="33">
        <f>ROUND(+AQ75/(+AQ37)*100,2)</f>
        <v>1.53</v>
      </c>
      <c r="AR97" s="35"/>
      <c r="AS97" s="33">
        <f>ROUND(+AS75/(+AS37)*100,2)</f>
        <v>1.37</v>
      </c>
      <c r="AT97" s="35"/>
      <c r="AU97" s="35"/>
      <c r="AV97" s="54">
        <f>ROUND(+AV75/(+AV37)*100,2)</f>
        <v>1.55</v>
      </c>
      <c r="AW97" s="35"/>
      <c r="AX97" s="33">
        <f>ROUND(+AX75/(+AX37)*100,2)</f>
        <v>1.37</v>
      </c>
      <c r="AY97" s="35"/>
      <c r="AZ97" s="90"/>
      <c r="BA97" s="31" t="s">
        <v>228</v>
      </c>
      <c r="BB97" s="2" t="s">
        <v>231</v>
      </c>
    </row>
    <row r="98" spans="2:53" ht="12.75">
      <c r="B98" s="2" t="s">
        <v>107</v>
      </c>
      <c r="E98" s="54"/>
      <c r="F98" s="31"/>
      <c r="G98" s="33"/>
      <c r="H98" s="35"/>
      <c r="I98" s="34"/>
      <c r="J98" s="31"/>
      <c r="K98" s="31"/>
      <c r="L98" s="54"/>
      <c r="M98" s="31"/>
      <c r="N98" s="34"/>
      <c r="O98" s="31"/>
      <c r="P98" s="154"/>
      <c r="Q98" s="54"/>
      <c r="R98" s="35"/>
      <c r="S98" s="33"/>
      <c r="T98" s="35"/>
      <c r="U98" s="33"/>
      <c r="V98" s="35"/>
      <c r="W98" s="35"/>
      <c r="X98" s="54"/>
      <c r="Y98" s="35"/>
      <c r="Z98" s="33"/>
      <c r="AA98" s="31"/>
      <c r="AC98" s="54"/>
      <c r="AD98" s="35"/>
      <c r="AE98" s="33"/>
      <c r="AF98" s="35"/>
      <c r="AG98" s="33"/>
      <c r="AH98" s="35"/>
      <c r="AI98" s="35"/>
      <c r="AJ98" s="54"/>
      <c r="AK98" s="31"/>
      <c r="AL98" s="34"/>
      <c r="AM98" s="31"/>
      <c r="AO98" s="54"/>
      <c r="AP98" s="35"/>
      <c r="AQ98" s="33"/>
      <c r="AR98" s="35"/>
      <c r="AS98" s="33"/>
      <c r="AT98" s="35"/>
      <c r="AU98" s="35"/>
      <c r="AV98" s="54"/>
      <c r="AW98" s="35"/>
      <c r="AX98" s="33"/>
      <c r="AY98" s="35"/>
      <c r="AZ98" s="90"/>
      <c r="BA98" s="31"/>
    </row>
    <row r="99" spans="2:53" ht="12.75">
      <c r="B99" s="2" t="s">
        <v>162</v>
      </c>
      <c r="E99" s="54">
        <f>ROUND(+E75/(+E88+E89)*100,2)</f>
        <v>277.77</v>
      </c>
      <c r="F99" s="31"/>
      <c r="G99" s="33">
        <f>ROUND(+G75/(+G88+G89)*100,2)</f>
        <v>275.01</v>
      </c>
      <c r="H99" s="35"/>
      <c r="I99" s="34">
        <f>ROUND(+I75/(+I88+I89)*100,2)</f>
        <v>267.86</v>
      </c>
      <c r="J99" s="31"/>
      <c r="K99" s="31"/>
      <c r="L99" s="54">
        <f>ROUND(+L75/(+L88+L89)*100,2)</f>
        <v>277.77</v>
      </c>
      <c r="M99" s="31"/>
      <c r="N99" s="34">
        <f>ROUND(+N75/(+N88+N89)*100,2)</f>
        <v>267.86</v>
      </c>
      <c r="O99" s="31"/>
      <c r="P99" s="154"/>
      <c r="Q99" s="54">
        <f>ROUND(+Q75/(+Q88+Q89)*100,2)</f>
        <v>289.03</v>
      </c>
      <c r="R99" s="35"/>
      <c r="S99" s="33">
        <f>ROUND(+S75/(+S88+S89)*100,2)</f>
        <v>277.77</v>
      </c>
      <c r="T99" s="35"/>
      <c r="U99" s="33">
        <f>ROUND(+U75/(+U88+U89)*100,2)</f>
        <v>124.17</v>
      </c>
      <c r="V99" s="35"/>
      <c r="W99" s="35"/>
      <c r="X99" s="54">
        <f>ROUND(+X75/(+X88+X89)*100,2)</f>
        <v>289.03</v>
      </c>
      <c r="Y99" s="35"/>
      <c r="Z99" s="33">
        <f>ROUND(+Z75/(+Z88+Z89)*100,2)</f>
        <v>124.17</v>
      </c>
      <c r="AA99" s="31"/>
      <c r="AC99" s="54">
        <f>ROUND(+AC75/(+AC88+AC89)*100,2)</f>
        <v>265.94</v>
      </c>
      <c r="AD99" s="35"/>
      <c r="AE99" s="33">
        <f>ROUND(+AE75/(+AE88+AE89)*100,2)</f>
        <v>289.03</v>
      </c>
      <c r="AF99" s="35"/>
      <c r="AG99" s="33">
        <f>ROUND(+AG75/(+AG88+AG89)*100,2)</f>
        <v>121.11</v>
      </c>
      <c r="AH99" s="35"/>
      <c r="AI99" s="35"/>
      <c r="AJ99" s="54">
        <f>ROUND(+AJ75/(+AJ88+AJ89)*100,2)</f>
        <v>265.94</v>
      </c>
      <c r="AK99" s="31"/>
      <c r="AL99" s="34">
        <f>ROUND(+AL75/(+AL88+AL89)*100,2)</f>
        <v>121.11</v>
      </c>
      <c r="AM99" s="31"/>
      <c r="AO99" s="54">
        <f>ROUND(+AO75/(+AO88+AO89)*100,2)</f>
        <v>224.22</v>
      </c>
      <c r="AP99" s="35"/>
      <c r="AQ99" s="33">
        <f>ROUND(+AQ75/(+AQ88+AQ89)*100,2)</f>
        <v>265.94</v>
      </c>
      <c r="AR99" s="35"/>
      <c r="AS99" s="33">
        <f>ROUND(+AS75/(+AS88+AS89)*100,2)</f>
        <v>275.01</v>
      </c>
      <c r="AT99" s="35"/>
      <c r="AU99" s="35"/>
      <c r="AV99" s="54">
        <f>ROUND(+AV75/(+AV88+AV89)*100,2)</f>
        <v>224.22</v>
      </c>
      <c r="AW99" s="35"/>
      <c r="AX99" s="33">
        <f>ROUND(+AX75/(+AX88+AX89)*100,2)</f>
        <v>275.01</v>
      </c>
      <c r="AY99" s="35"/>
      <c r="AZ99" s="90"/>
      <c r="BA99" s="31" t="s">
        <v>228</v>
      </c>
    </row>
    <row r="100" spans="5:48" ht="12.75">
      <c r="E100" s="57"/>
      <c r="L100" s="57"/>
      <c r="Q100" s="57"/>
      <c r="X100" s="57"/>
      <c r="AC100" s="57"/>
      <c r="AD100" s="27"/>
      <c r="AF100" s="27"/>
      <c r="AG100" s="27"/>
      <c r="AH100" s="27"/>
      <c r="AI100" s="27"/>
      <c r="AJ100" s="57"/>
      <c r="AO100" s="57"/>
      <c r="AP100" s="27"/>
      <c r="AQ100" s="27"/>
      <c r="AR100" s="27"/>
      <c r="AS100" s="27"/>
      <c r="AT100" s="27"/>
      <c r="AU100" s="27"/>
      <c r="AV100" s="57"/>
    </row>
    <row r="101" spans="1:48" ht="12.75">
      <c r="A101" s="1" t="s">
        <v>135</v>
      </c>
      <c r="E101" s="57"/>
      <c r="L101" s="57"/>
      <c r="Q101" s="57"/>
      <c r="X101" s="57"/>
      <c r="AC101" s="57"/>
      <c r="AD101" s="27"/>
      <c r="AF101" s="27"/>
      <c r="AG101" s="27"/>
      <c r="AH101" s="27"/>
      <c r="AI101" s="27"/>
      <c r="AJ101" s="57"/>
      <c r="AO101" s="57"/>
      <c r="AP101" s="27"/>
      <c r="AQ101" s="27"/>
      <c r="AR101" s="27"/>
      <c r="AS101" s="27"/>
      <c r="AT101" s="27"/>
      <c r="AU101" s="27"/>
      <c r="AV101" s="57"/>
    </row>
    <row r="102" spans="2:53" ht="12.75">
      <c r="B102" s="2" t="s">
        <v>163</v>
      </c>
      <c r="E102" s="56">
        <v>305129</v>
      </c>
      <c r="G102" s="21">
        <v>326614</v>
      </c>
      <c r="I102" s="21">
        <v>386375</v>
      </c>
      <c r="L102" s="56">
        <v>305129</v>
      </c>
      <c r="N102" s="21">
        <v>386375</v>
      </c>
      <c r="Q102" s="56">
        <v>333754</v>
      </c>
      <c r="S102" s="36">
        <v>305129</v>
      </c>
      <c r="U102" s="36">
        <v>377008</v>
      </c>
      <c r="X102" s="56">
        <v>333754</v>
      </c>
      <c r="Z102" s="36">
        <v>377008</v>
      </c>
      <c r="AA102" s="27"/>
      <c r="AC102" s="56">
        <v>354860</v>
      </c>
      <c r="AD102" s="27"/>
      <c r="AE102" s="36">
        <v>333754</v>
      </c>
      <c r="AF102" s="27"/>
      <c r="AG102" s="36">
        <v>368341</v>
      </c>
      <c r="AH102" s="27"/>
      <c r="AI102" s="27"/>
      <c r="AJ102" s="56">
        <v>354860</v>
      </c>
      <c r="AL102" s="21">
        <v>368341</v>
      </c>
      <c r="AO102" s="56">
        <v>358124</v>
      </c>
      <c r="AP102" s="27"/>
      <c r="AQ102" s="36">
        <v>354860</v>
      </c>
      <c r="AR102" s="27"/>
      <c r="AS102" s="36">
        <v>326614</v>
      </c>
      <c r="AT102" s="27"/>
      <c r="AU102" s="27"/>
      <c r="AV102" s="56">
        <v>358124</v>
      </c>
      <c r="AX102" s="21">
        <v>326614</v>
      </c>
      <c r="AZ102" s="157"/>
      <c r="BA102" s="31"/>
    </row>
    <row r="103" spans="2:54" ht="12.75">
      <c r="B103" s="2" t="s">
        <v>164</v>
      </c>
      <c r="E103" s="56">
        <v>82554</v>
      </c>
      <c r="G103" s="36">
        <v>84348</v>
      </c>
      <c r="H103" s="27"/>
      <c r="I103" s="36">
        <v>89927</v>
      </c>
      <c r="L103" s="56">
        <v>82554</v>
      </c>
      <c r="N103" s="36">
        <v>89927</v>
      </c>
      <c r="Q103" s="56">
        <v>89016</v>
      </c>
      <c r="S103" s="36">
        <v>82554</v>
      </c>
      <c r="U103" s="36">
        <v>94472</v>
      </c>
      <c r="X103" s="56">
        <v>89016</v>
      </c>
      <c r="Z103" s="36">
        <v>94472</v>
      </c>
      <c r="AA103" s="27"/>
      <c r="AB103" s="27"/>
      <c r="AC103" s="56">
        <v>63893</v>
      </c>
      <c r="AD103" s="27"/>
      <c r="AE103" s="36">
        <v>89016</v>
      </c>
      <c r="AF103" s="27"/>
      <c r="AG103" s="36">
        <v>91026</v>
      </c>
      <c r="AH103" s="27"/>
      <c r="AI103" s="27"/>
      <c r="AJ103" s="56">
        <v>63893</v>
      </c>
      <c r="AK103" s="27"/>
      <c r="AL103" s="36">
        <v>91026</v>
      </c>
      <c r="AM103" s="27"/>
      <c r="AO103" s="56">
        <v>54696</v>
      </c>
      <c r="AP103" s="27"/>
      <c r="AQ103" s="36">
        <v>63893</v>
      </c>
      <c r="AR103" s="27"/>
      <c r="AS103" s="36">
        <v>84348</v>
      </c>
      <c r="AT103" s="27"/>
      <c r="AU103" s="27"/>
      <c r="AV103" s="56">
        <v>54696</v>
      </c>
      <c r="AW103" s="27"/>
      <c r="AX103" s="36">
        <v>84348</v>
      </c>
      <c r="AY103" s="27"/>
      <c r="AZ103" s="166"/>
      <c r="BA103" s="27"/>
      <c r="BB103" s="27"/>
    </row>
    <row r="104" spans="2:52" ht="12.75">
      <c r="B104" s="2" t="s">
        <v>209</v>
      </c>
      <c r="E104" s="55">
        <v>258</v>
      </c>
      <c r="F104" s="15"/>
      <c r="G104" s="37">
        <v>258</v>
      </c>
      <c r="H104" s="15"/>
      <c r="I104" s="15">
        <v>258</v>
      </c>
      <c r="J104" s="15"/>
      <c r="K104" s="15"/>
      <c r="L104" s="55">
        <v>258</v>
      </c>
      <c r="M104" s="15"/>
      <c r="N104" s="15">
        <v>258</v>
      </c>
      <c r="O104" s="15"/>
      <c r="Q104" s="55">
        <v>255</v>
      </c>
      <c r="R104" s="37"/>
      <c r="S104" s="37">
        <v>258</v>
      </c>
      <c r="T104" s="37"/>
      <c r="U104" s="37">
        <v>261</v>
      </c>
      <c r="X104" s="55">
        <v>255</v>
      </c>
      <c r="Y104" s="37"/>
      <c r="Z104" s="37">
        <v>261</v>
      </c>
      <c r="AA104" s="27"/>
      <c r="AC104" s="55">
        <v>246</v>
      </c>
      <c r="AD104" s="37"/>
      <c r="AE104" s="37">
        <v>255</v>
      </c>
      <c r="AF104" s="27"/>
      <c r="AG104" s="37">
        <v>258</v>
      </c>
      <c r="AH104" s="27"/>
      <c r="AI104" s="27"/>
      <c r="AJ104" s="55">
        <v>246</v>
      </c>
      <c r="AK104" s="15"/>
      <c r="AL104" s="15">
        <v>258</v>
      </c>
      <c r="AO104" s="55">
        <v>238</v>
      </c>
      <c r="AP104" s="37"/>
      <c r="AQ104" s="37">
        <v>246</v>
      </c>
      <c r="AR104" s="27"/>
      <c r="AS104" s="37">
        <v>258</v>
      </c>
      <c r="AT104" s="27"/>
      <c r="AU104" s="27"/>
      <c r="AV104" s="55">
        <v>238</v>
      </c>
      <c r="AW104" s="15"/>
      <c r="AX104" s="37">
        <v>258</v>
      </c>
      <c r="AZ104" s="167"/>
    </row>
    <row r="105" spans="2:52" ht="12.75">
      <c r="B105" s="2" t="s">
        <v>136</v>
      </c>
      <c r="E105" s="55">
        <v>20</v>
      </c>
      <c r="F105" s="15"/>
      <c r="G105" s="15">
        <v>20</v>
      </c>
      <c r="H105" s="15"/>
      <c r="I105" s="15">
        <v>19</v>
      </c>
      <c r="J105" s="15"/>
      <c r="K105" s="15"/>
      <c r="L105" s="55">
        <v>20</v>
      </c>
      <c r="M105" s="15"/>
      <c r="N105" s="15">
        <v>19</v>
      </c>
      <c r="O105" s="15"/>
      <c r="Q105" s="55">
        <v>19</v>
      </c>
      <c r="R105" s="37"/>
      <c r="S105" s="37">
        <v>20</v>
      </c>
      <c r="T105" s="37"/>
      <c r="U105" s="37">
        <v>20</v>
      </c>
      <c r="X105" s="55">
        <v>19</v>
      </c>
      <c r="Y105" s="37"/>
      <c r="Z105" s="37">
        <v>20</v>
      </c>
      <c r="AC105" s="55">
        <v>19</v>
      </c>
      <c r="AD105" s="37"/>
      <c r="AE105" s="37">
        <v>19</v>
      </c>
      <c r="AF105" s="27"/>
      <c r="AG105" s="37">
        <v>20</v>
      </c>
      <c r="AH105" s="27"/>
      <c r="AI105" s="27"/>
      <c r="AJ105" s="55">
        <v>19</v>
      </c>
      <c r="AK105" s="15"/>
      <c r="AL105" s="15">
        <v>20</v>
      </c>
      <c r="AO105" s="55">
        <v>19</v>
      </c>
      <c r="AP105" s="37"/>
      <c r="AQ105" s="37">
        <v>19</v>
      </c>
      <c r="AR105" s="27"/>
      <c r="AS105" s="37">
        <v>20</v>
      </c>
      <c r="AT105" s="27"/>
      <c r="AU105" s="27"/>
      <c r="AV105" s="55">
        <v>19</v>
      </c>
      <c r="AW105" s="15"/>
      <c r="AX105" s="15">
        <v>20</v>
      </c>
      <c r="AZ105" s="167"/>
    </row>
    <row r="106" spans="2:52" ht="12.75">
      <c r="B106" s="2" t="s">
        <v>137</v>
      </c>
      <c r="E106" s="55">
        <v>2</v>
      </c>
      <c r="F106" s="15"/>
      <c r="G106" s="15">
        <v>1</v>
      </c>
      <c r="H106" s="15"/>
      <c r="I106" s="15">
        <v>1</v>
      </c>
      <c r="J106" s="15"/>
      <c r="K106" s="15"/>
      <c r="L106" s="55">
        <v>2</v>
      </c>
      <c r="M106" s="15"/>
      <c r="N106" s="15">
        <v>1</v>
      </c>
      <c r="O106" s="15"/>
      <c r="Q106" s="55">
        <v>2</v>
      </c>
      <c r="R106" s="37"/>
      <c r="S106" s="37">
        <v>2</v>
      </c>
      <c r="T106" s="37"/>
      <c r="U106" s="37">
        <v>1</v>
      </c>
      <c r="X106" s="55">
        <v>2</v>
      </c>
      <c r="Y106" s="37"/>
      <c r="Z106" s="37">
        <v>1</v>
      </c>
      <c r="AC106" s="55">
        <v>2</v>
      </c>
      <c r="AD106" s="37"/>
      <c r="AE106" s="37">
        <v>2</v>
      </c>
      <c r="AF106" s="27"/>
      <c r="AG106" s="37">
        <v>1</v>
      </c>
      <c r="AH106" s="27"/>
      <c r="AI106" s="27"/>
      <c r="AJ106" s="55">
        <v>2</v>
      </c>
      <c r="AK106" s="15"/>
      <c r="AL106" s="15">
        <v>1</v>
      </c>
      <c r="AO106" s="55">
        <v>2</v>
      </c>
      <c r="AP106" s="37"/>
      <c r="AQ106" s="37">
        <v>2</v>
      </c>
      <c r="AR106" s="27"/>
      <c r="AS106" s="37">
        <v>1</v>
      </c>
      <c r="AT106" s="27"/>
      <c r="AU106" s="27"/>
      <c r="AV106" s="55">
        <v>2</v>
      </c>
      <c r="AW106" s="15"/>
      <c r="AX106" s="15">
        <v>1</v>
      </c>
      <c r="AZ106" s="167"/>
    </row>
    <row r="107" spans="2:52" ht="12.75">
      <c r="B107" s="2" t="s">
        <v>138</v>
      </c>
      <c r="E107" s="55">
        <v>23</v>
      </c>
      <c r="F107" s="15"/>
      <c r="G107" s="15">
        <v>24</v>
      </c>
      <c r="H107" s="15"/>
      <c r="I107" s="15">
        <v>23</v>
      </c>
      <c r="J107" s="15"/>
      <c r="K107" s="15"/>
      <c r="L107" s="55">
        <v>23</v>
      </c>
      <c r="M107" s="15"/>
      <c r="N107" s="15">
        <v>23</v>
      </c>
      <c r="O107" s="15"/>
      <c r="Q107" s="55">
        <v>24</v>
      </c>
      <c r="R107" s="37"/>
      <c r="S107" s="37">
        <v>23</v>
      </c>
      <c r="T107" s="37"/>
      <c r="U107" s="37">
        <v>23</v>
      </c>
      <c r="X107" s="55">
        <v>24</v>
      </c>
      <c r="Y107" s="37"/>
      <c r="Z107" s="37">
        <v>23</v>
      </c>
      <c r="AC107" s="55">
        <v>24</v>
      </c>
      <c r="AD107" s="37"/>
      <c r="AE107" s="37">
        <v>24</v>
      </c>
      <c r="AF107" s="27"/>
      <c r="AG107" s="37">
        <v>23</v>
      </c>
      <c r="AH107" s="27"/>
      <c r="AI107" s="27"/>
      <c r="AJ107" s="55">
        <v>24</v>
      </c>
      <c r="AK107" s="15"/>
      <c r="AL107" s="15">
        <v>23</v>
      </c>
      <c r="AO107" s="55">
        <v>24</v>
      </c>
      <c r="AP107" s="37"/>
      <c r="AQ107" s="37">
        <v>24</v>
      </c>
      <c r="AR107" s="27"/>
      <c r="AS107" s="37">
        <v>24</v>
      </c>
      <c r="AT107" s="27"/>
      <c r="AU107" s="27"/>
      <c r="AV107" s="55">
        <v>24</v>
      </c>
      <c r="AW107" s="15"/>
      <c r="AX107" s="15">
        <v>24</v>
      </c>
      <c r="AZ107" s="167"/>
    </row>
    <row r="108" spans="5:48" ht="12.75">
      <c r="E108" s="57"/>
      <c r="L108" s="57"/>
      <c r="AC108" s="57"/>
      <c r="AD108" s="27"/>
      <c r="AF108" s="27"/>
      <c r="AG108" s="27"/>
      <c r="AH108" s="27"/>
      <c r="AI108" s="27"/>
      <c r="AJ108" s="57"/>
      <c r="AO108" s="57"/>
      <c r="AP108" s="27"/>
      <c r="AQ108" s="27"/>
      <c r="AR108" s="27"/>
      <c r="AS108" s="27"/>
      <c r="AT108" s="27"/>
      <c r="AU108" s="27"/>
      <c r="AV108" s="57"/>
    </row>
    <row r="109" spans="5:48" ht="12.75">
      <c r="E109" s="57"/>
      <c r="L109" s="57"/>
      <c r="AC109" s="57"/>
      <c r="AD109" s="27"/>
      <c r="AF109" s="27"/>
      <c r="AG109" s="27"/>
      <c r="AH109" s="27"/>
      <c r="AI109" s="27"/>
      <c r="AJ109" s="57"/>
      <c r="AO109" s="57"/>
      <c r="AP109" s="27"/>
      <c r="AQ109" s="27"/>
      <c r="AR109" s="27"/>
      <c r="AS109" s="27"/>
      <c r="AT109" s="27"/>
      <c r="AU109" s="27"/>
      <c r="AV109" s="57"/>
    </row>
    <row r="110" spans="5:43" ht="12.75">
      <c r="E110" s="57"/>
      <c r="L110" s="57"/>
      <c r="AC110" s="57"/>
      <c r="AD110" s="27"/>
      <c r="AF110" s="27"/>
      <c r="AG110" s="27"/>
      <c r="AH110" s="27"/>
      <c r="AI110" s="27"/>
      <c r="AJ110" s="57"/>
      <c r="AQ110" s="27"/>
    </row>
    <row r="111" spans="5:53" ht="12.75">
      <c r="E111" s="153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154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1"/>
      <c r="AC111" s="61"/>
      <c r="AD111" s="35"/>
      <c r="AE111" s="35"/>
      <c r="AF111" s="35"/>
      <c r="AG111" s="35"/>
      <c r="AH111" s="35"/>
      <c r="AI111" s="35"/>
      <c r="AJ111" s="61"/>
      <c r="AK111" s="31"/>
      <c r="AL111" s="31"/>
      <c r="AM111" s="31"/>
      <c r="AO111" s="153"/>
      <c r="AP111" s="31"/>
      <c r="AQ111" s="35"/>
      <c r="AR111" s="31"/>
      <c r="AS111" s="31"/>
      <c r="AT111" s="31"/>
      <c r="AU111" s="31"/>
      <c r="AV111" s="153"/>
      <c r="AW111" s="31"/>
      <c r="AX111" s="31"/>
      <c r="AY111" s="31"/>
      <c r="AZ111" s="155"/>
      <c r="BA111" s="31"/>
    </row>
    <row r="112" spans="1:53" ht="12.75">
      <c r="A112" s="2" t="s">
        <v>108</v>
      </c>
      <c r="E112" s="153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154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1"/>
      <c r="AC112" s="61"/>
      <c r="AD112" s="35"/>
      <c r="AE112" s="35"/>
      <c r="AF112" s="35"/>
      <c r="AG112" s="35"/>
      <c r="AH112" s="35"/>
      <c r="AI112" s="35"/>
      <c r="AJ112" s="61"/>
      <c r="AK112" s="31"/>
      <c r="AL112" s="31"/>
      <c r="AM112" s="31"/>
      <c r="AO112" s="153"/>
      <c r="AP112" s="31"/>
      <c r="AQ112" s="35"/>
      <c r="AR112" s="31"/>
      <c r="AS112" s="31"/>
      <c r="AT112" s="31"/>
      <c r="AU112" s="31"/>
      <c r="AV112" s="153"/>
      <c r="AW112" s="31"/>
      <c r="AX112" s="31"/>
      <c r="AY112" s="31"/>
      <c r="AZ112" s="155"/>
      <c r="BA112" s="31"/>
    </row>
    <row r="113" spans="5:53" ht="12.75">
      <c r="E113" s="153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154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1"/>
      <c r="AC113" s="61"/>
      <c r="AD113" s="35"/>
      <c r="AE113" s="35"/>
      <c r="AF113" s="35"/>
      <c r="AG113" s="35"/>
      <c r="AH113" s="35"/>
      <c r="AI113" s="35"/>
      <c r="AJ113" s="61"/>
      <c r="AK113" s="31"/>
      <c r="AL113" s="31"/>
      <c r="AM113" s="31"/>
      <c r="AO113" s="153"/>
      <c r="AP113" s="31"/>
      <c r="AQ113" s="35"/>
      <c r="AR113" s="31"/>
      <c r="AS113" s="31"/>
      <c r="AT113" s="31"/>
      <c r="AU113" s="31"/>
      <c r="AV113" s="153"/>
      <c r="AW113" s="31"/>
      <c r="AX113" s="31"/>
      <c r="AY113" s="31"/>
      <c r="AZ113" s="155"/>
      <c r="BA113" s="31"/>
    </row>
    <row r="114" spans="2:53" ht="12.75">
      <c r="B114" s="2" t="s">
        <v>109</v>
      </c>
      <c r="E114" s="153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154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1"/>
      <c r="AC114" s="61"/>
      <c r="AD114" s="35"/>
      <c r="AE114" s="35"/>
      <c r="AF114" s="35"/>
      <c r="AG114" s="35"/>
      <c r="AH114" s="35"/>
      <c r="AI114" s="35"/>
      <c r="AJ114" s="61"/>
      <c r="AK114" s="31"/>
      <c r="AL114" s="31"/>
      <c r="AM114" s="31"/>
      <c r="AO114" s="153"/>
      <c r="AP114" s="31"/>
      <c r="AQ114" s="35"/>
      <c r="AR114" s="31"/>
      <c r="AS114" s="31"/>
      <c r="AT114" s="31"/>
      <c r="AU114" s="31"/>
      <c r="AV114" s="153"/>
      <c r="AW114" s="31"/>
      <c r="AX114" s="31"/>
      <c r="AY114" s="31"/>
      <c r="AZ114" s="155"/>
      <c r="BA114" s="31"/>
    </row>
    <row r="115" spans="2:43" ht="12.75">
      <c r="B115" s="2" t="s">
        <v>110</v>
      </c>
      <c r="AC115" s="57"/>
      <c r="AD115" s="27"/>
      <c r="AF115" s="27"/>
      <c r="AG115" s="27"/>
      <c r="AH115" s="27"/>
      <c r="AI115" s="27"/>
      <c r="AJ115" s="57"/>
      <c r="AQ115" s="27"/>
    </row>
    <row r="116" spans="2:53" ht="12.75">
      <c r="B116" s="2" t="s">
        <v>165</v>
      </c>
      <c r="E116" s="153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154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1"/>
      <c r="AC116" s="61"/>
      <c r="AD116" s="35"/>
      <c r="AE116" s="35"/>
      <c r="AF116" s="35"/>
      <c r="AG116" s="35"/>
      <c r="AH116" s="35"/>
      <c r="AI116" s="35"/>
      <c r="AJ116" s="61"/>
      <c r="AK116" s="31"/>
      <c r="AL116" s="31"/>
      <c r="AM116" s="31"/>
      <c r="AO116" s="153"/>
      <c r="AP116" s="31"/>
      <c r="AQ116" s="35"/>
      <c r="AR116" s="31"/>
      <c r="AS116" s="31"/>
      <c r="AT116" s="31"/>
      <c r="AU116" s="31"/>
      <c r="AV116" s="153"/>
      <c r="AW116" s="31"/>
      <c r="AX116" s="31"/>
      <c r="AY116" s="31"/>
      <c r="AZ116" s="155"/>
      <c r="BA116" s="31"/>
    </row>
    <row r="117" spans="2:53" ht="12.75">
      <c r="B117" s="2" t="s">
        <v>210</v>
      </c>
      <c r="E117" s="153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154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1"/>
      <c r="AC117" s="61"/>
      <c r="AD117" s="35"/>
      <c r="AE117" s="35"/>
      <c r="AF117" s="35"/>
      <c r="AG117" s="35"/>
      <c r="AH117" s="35"/>
      <c r="AI117" s="35"/>
      <c r="AJ117" s="61"/>
      <c r="AK117" s="31"/>
      <c r="AL117" s="31"/>
      <c r="AM117" s="31"/>
      <c r="AO117" s="153"/>
      <c r="AP117" s="31"/>
      <c r="AQ117" s="35"/>
      <c r="AR117" s="31"/>
      <c r="AS117" s="31"/>
      <c r="AT117" s="31"/>
      <c r="AU117" s="31"/>
      <c r="AV117" s="153"/>
      <c r="AW117" s="31"/>
      <c r="AX117" s="31"/>
      <c r="AY117" s="31"/>
      <c r="AZ117" s="155"/>
      <c r="BA117" s="31"/>
    </row>
    <row r="118" ht="12.75">
      <c r="B118" s="2" t="s">
        <v>147</v>
      </c>
    </row>
  </sheetData>
  <mergeCells count="3">
    <mergeCell ref="BC5:BH5"/>
    <mergeCell ref="A1:AY1"/>
    <mergeCell ref="A2:AY2"/>
  </mergeCells>
  <printOptions horizontalCentered="1"/>
  <pageMargins left="0.5" right="0.25" top="0.5" bottom="0.5" header="0.25" footer="0.25"/>
  <pageSetup fitToHeight="2" horizontalDpi="600" verticalDpi="600" orientation="portrait" scale="85" r:id="rId1"/>
  <rowBreaks count="1" manualBreakCount="1">
    <brk id="62" max="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workbookViewId="0" topLeftCell="A1">
      <selection activeCell="A1" sqref="A1:P54"/>
    </sheetView>
  </sheetViews>
  <sheetFormatPr defaultColWidth="9.7109375" defaultRowHeight="12.75"/>
  <cols>
    <col min="1" max="3" width="2.7109375" style="2" customWidth="1"/>
    <col min="4" max="4" width="24.7109375" style="2" customWidth="1"/>
    <col min="5" max="5" width="9.7109375" style="2" customWidth="1"/>
    <col min="6" max="6" width="1.7109375" style="2" customWidth="1"/>
    <col min="7" max="7" width="9.7109375" style="2" customWidth="1"/>
    <col min="8" max="8" width="3.7109375" style="2" customWidth="1"/>
    <col min="9" max="9" width="8.7109375" style="2" customWidth="1"/>
    <col min="10" max="10" width="1.7109375" style="2" customWidth="1"/>
    <col min="11" max="11" width="8.7109375" style="2" customWidth="1"/>
    <col min="12" max="12" width="3.7109375" style="2" customWidth="1"/>
    <col min="13" max="13" width="7.00390625" style="2" customWidth="1"/>
    <col min="14" max="14" width="2.00390625" style="2" customWidth="1"/>
    <col min="15" max="15" width="7.00390625" style="2" customWidth="1"/>
    <col min="16" max="16" width="2.00390625" style="2" customWidth="1"/>
    <col min="17" max="16384" width="9.7109375" style="2" customWidth="1"/>
  </cols>
  <sheetData>
    <row r="1" spans="3:16" ht="12.75">
      <c r="C1" s="173" t="s">
        <v>175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3:16" ht="12.75">
      <c r="C2" s="174" t="s">
        <v>221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3:16" ht="12.75">
      <c r="C3" s="174" t="s">
        <v>222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3:16" ht="12.75"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5" ht="12.75">
      <c r="A5" s="27"/>
      <c r="B5" s="27"/>
      <c r="C5" s="27"/>
      <c r="D5" s="27"/>
      <c r="G5" s="38"/>
      <c r="H5" s="38"/>
      <c r="I5" s="175" t="s">
        <v>111</v>
      </c>
      <c r="J5" s="175"/>
      <c r="K5" s="175"/>
      <c r="L5" s="39"/>
      <c r="M5" s="170" t="s">
        <v>224</v>
      </c>
      <c r="N5" s="170"/>
      <c r="O5" s="170"/>
    </row>
    <row r="6" spans="5:16" ht="12.75">
      <c r="E6" s="176" t="s">
        <v>112</v>
      </c>
      <c r="F6" s="176"/>
      <c r="G6" s="176"/>
      <c r="I6" s="176" t="s">
        <v>113</v>
      </c>
      <c r="J6" s="176"/>
      <c r="K6" s="176"/>
      <c r="L6" s="40"/>
      <c r="M6" s="176" t="s">
        <v>114</v>
      </c>
      <c r="N6" s="176"/>
      <c r="O6" s="176"/>
      <c r="P6"/>
    </row>
    <row r="7" spans="1:10" ht="12.75">
      <c r="A7" s="4"/>
      <c r="B7" s="4"/>
      <c r="C7" s="4"/>
      <c r="D7" s="4"/>
      <c r="I7" s="27"/>
      <c r="J7" s="4"/>
    </row>
    <row r="8" spans="5:15" ht="12.75">
      <c r="E8" s="112">
        <v>2009</v>
      </c>
      <c r="G8" s="112">
        <v>2008</v>
      </c>
      <c r="I8" s="112">
        <v>2009</v>
      </c>
      <c r="K8" s="112">
        <v>2008</v>
      </c>
      <c r="L8" s="41"/>
      <c r="M8" s="42">
        <v>2009</v>
      </c>
      <c r="O8" s="42">
        <v>2008</v>
      </c>
    </row>
    <row r="9" spans="1:15" ht="12.75">
      <c r="A9" s="11" t="s">
        <v>118</v>
      </c>
      <c r="B9" s="11"/>
      <c r="C9" s="11"/>
      <c r="D9" s="11"/>
      <c r="E9" s="11"/>
      <c r="F9" s="11"/>
      <c r="G9" s="11"/>
      <c r="H9" s="43"/>
      <c r="I9" s="43"/>
      <c r="K9" s="43"/>
      <c r="L9" s="43"/>
      <c r="M9" s="43"/>
      <c r="O9" s="43"/>
    </row>
    <row r="10" spans="2:16" ht="12.75">
      <c r="B10" s="11" t="s">
        <v>119</v>
      </c>
      <c r="C10" s="11"/>
      <c r="D10" s="11"/>
      <c r="E10" s="8">
        <v>80712</v>
      </c>
      <c r="F10" s="11"/>
      <c r="G10" s="8">
        <v>93548</v>
      </c>
      <c r="H10" s="8"/>
      <c r="I10" s="8">
        <v>986</v>
      </c>
      <c r="J10" s="30"/>
      <c r="K10" s="8">
        <v>1296</v>
      </c>
      <c r="L10" s="8"/>
      <c r="M10" s="38">
        <f>I10/E10*100*4</f>
        <v>4.886510060461889</v>
      </c>
      <c r="N10" s="44" t="s">
        <v>35</v>
      </c>
      <c r="O10" s="38">
        <f>K10/G10*100*4</f>
        <v>5.541540171890366</v>
      </c>
      <c r="P10" s="44" t="s">
        <v>35</v>
      </c>
    </row>
    <row r="11" spans="2:16" ht="12.75">
      <c r="B11" s="11" t="s">
        <v>176</v>
      </c>
      <c r="C11" s="11"/>
      <c r="D11" s="11"/>
      <c r="E11" s="10">
        <v>452136</v>
      </c>
      <c r="F11" s="11"/>
      <c r="G11" s="10">
        <v>470968</v>
      </c>
      <c r="H11" s="10"/>
      <c r="I11" s="10">
        <v>6338</v>
      </c>
      <c r="J11" s="15"/>
      <c r="K11" s="10">
        <v>7132</v>
      </c>
      <c r="L11" s="10"/>
      <c r="M11" s="38">
        <f>I11/E11*100*4</f>
        <v>5.607162446697454</v>
      </c>
      <c r="N11" s="38"/>
      <c r="O11" s="38">
        <f>K11/G11*100*4</f>
        <v>6.057311749418219</v>
      </c>
      <c r="P11" s="38"/>
    </row>
    <row r="12" spans="2:16" ht="12.75">
      <c r="B12" s="11" t="s">
        <v>120</v>
      </c>
      <c r="C12" s="11"/>
      <c r="D12" s="11"/>
      <c r="E12" s="12">
        <v>7255</v>
      </c>
      <c r="F12" s="11"/>
      <c r="G12" s="12">
        <v>8234</v>
      </c>
      <c r="H12" s="10"/>
      <c r="I12" s="12">
        <v>148</v>
      </c>
      <c r="J12" s="15"/>
      <c r="K12" s="12">
        <v>189</v>
      </c>
      <c r="L12" s="13"/>
      <c r="M12" s="38">
        <f>I12/E12*100*4</f>
        <v>8.159889731219847</v>
      </c>
      <c r="N12" s="38"/>
      <c r="O12" s="38">
        <f>K12/G12*100*4</f>
        <v>9.181442798153995</v>
      </c>
      <c r="P12" s="38"/>
    </row>
    <row r="13" spans="2:16" ht="12.75">
      <c r="B13" s="11"/>
      <c r="C13" s="11" t="s">
        <v>88</v>
      </c>
      <c r="D13" s="11"/>
      <c r="E13" s="12">
        <f>SUM(E10:E12)</f>
        <v>540103</v>
      </c>
      <c r="F13" s="11"/>
      <c r="G13" s="12">
        <f>SUM(G10:G12)</f>
        <v>572750</v>
      </c>
      <c r="H13" s="10"/>
      <c r="I13" s="12">
        <f>SUM(I10:I12)</f>
        <v>7472</v>
      </c>
      <c r="J13" s="15"/>
      <c r="K13" s="12">
        <f>SUM(K10:K12)</f>
        <v>8617</v>
      </c>
      <c r="L13" s="13"/>
      <c r="M13" s="45">
        <f>I13/E13*100*4</f>
        <v>5.5337593014665725</v>
      </c>
      <c r="N13" s="38"/>
      <c r="O13" s="45">
        <f>K13/G13*100*4</f>
        <v>6.017983413356612</v>
      </c>
      <c r="P13" s="38"/>
    </row>
    <row r="14" spans="5:16" ht="12.75">
      <c r="E14" s="15"/>
      <c r="G14" s="15"/>
      <c r="H14" s="10"/>
      <c r="I14" s="15"/>
      <c r="J14" s="15"/>
      <c r="K14" s="15"/>
      <c r="L14" s="15"/>
      <c r="M14" s="38"/>
      <c r="N14" s="38"/>
      <c r="O14" s="38"/>
      <c r="P14" s="38"/>
    </row>
    <row r="15" spans="1:16" ht="12.75">
      <c r="A15" s="11" t="s">
        <v>121</v>
      </c>
      <c r="B15" s="11"/>
      <c r="C15" s="11"/>
      <c r="D15" s="11"/>
      <c r="E15" s="10"/>
      <c r="F15" s="11"/>
      <c r="G15" s="10"/>
      <c r="H15" s="10"/>
      <c r="I15" s="10"/>
      <c r="J15" s="15"/>
      <c r="K15" s="10"/>
      <c r="L15" s="10"/>
      <c r="M15" s="38"/>
      <c r="N15" s="38"/>
      <c r="O15" s="38"/>
      <c r="P15" s="38"/>
    </row>
    <row r="16" spans="2:16" ht="12.75">
      <c r="B16" s="91" t="s">
        <v>212</v>
      </c>
      <c r="C16" s="91"/>
      <c r="D16" s="91"/>
      <c r="E16" s="10">
        <v>61858</v>
      </c>
      <c r="F16" s="11"/>
      <c r="G16" s="10">
        <v>43373</v>
      </c>
      <c r="H16" s="10"/>
      <c r="I16" s="10">
        <v>555</v>
      </c>
      <c r="J16" s="15"/>
      <c r="K16" s="10">
        <v>533</v>
      </c>
      <c r="L16" s="10"/>
      <c r="M16" s="38">
        <f>I16/E16*100*4</f>
        <v>3.5888648194251354</v>
      </c>
      <c r="N16" s="38"/>
      <c r="O16" s="38">
        <f>K16/G16*100*4</f>
        <v>4.915500426532636</v>
      </c>
      <c r="P16" s="38"/>
    </row>
    <row r="17" spans="2:16" ht="12.75">
      <c r="B17" t="s">
        <v>202</v>
      </c>
      <c r="C17"/>
      <c r="D17"/>
      <c r="E17" s="10">
        <v>38002</v>
      </c>
      <c r="F17" s="11"/>
      <c r="G17" s="10">
        <v>46237</v>
      </c>
      <c r="H17" s="10"/>
      <c r="I17" s="10">
        <v>482</v>
      </c>
      <c r="J17" s="15"/>
      <c r="K17" s="10">
        <v>581</v>
      </c>
      <c r="L17" s="10"/>
      <c r="M17" s="38">
        <f>I17/E17*100*4</f>
        <v>5.073417188569023</v>
      </c>
      <c r="N17" s="38"/>
      <c r="O17" s="38">
        <f>K17/G17*100*4</f>
        <v>5.026277656422345</v>
      </c>
      <c r="P17" s="38"/>
    </row>
    <row r="18" spans="2:16" ht="12.75">
      <c r="B18" s="11" t="s">
        <v>122</v>
      </c>
      <c r="C18" s="11"/>
      <c r="D18" s="11"/>
      <c r="E18" s="10">
        <v>59358</v>
      </c>
      <c r="F18" s="11"/>
      <c r="G18" s="10">
        <v>43180</v>
      </c>
      <c r="H18" s="10"/>
      <c r="I18" s="10">
        <v>839</v>
      </c>
      <c r="J18" s="15"/>
      <c r="K18" s="10">
        <v>595</v>
      </c>
      <c r="L18" s="10"/>
      <c r="M18" s="38">
        <f>I18/E18*100*4</f>
        <v>5.653829306917349</v>
      </c>
      <c r="N18" s="38"/>
      <c r="O18" s="38">
        <f>K18/G18*100*4</f>
        <v>5.511811023622047</v>
      </c>
      <c r="P18" s="38"/>
    </row>
    <row r="19" spans="2:16" ht="12.75">
      <c r="B19" s="11" t="s">
        <v>177</v>
      </c>
      <c r="C19" s="11"/>
      <c r="D19" s="11"/>
      <c r="E19" s="12">
        <v>8328</v>
      </c>
      <c r="F19" s="11"/>
      <c r="G19" s="12">
        <v>5157</v>
      </c>
      <c r="H19" s="10"/>
      <c r="I19" s="12">
        <v>76</v>
      </c>
      <c r="J19" s="15"/>
      <c r="K19" s="12">
        <v>34</v>
      </c>
      <c r="L19" s="13"/>
      <c r="M19" s="38">
        <f>I19/E19*100*4</f>
        <v>3.6503362151777137</v>
      </c>
      <c r="N19" s="38"/>
      <c r="O19" s="38">
        <f>K19/G19*100*4</f>
        <v>2.6371921659879773</v>
      </c>
      <c r="P19" s="38"/>
    </row>
    <row r="20" spans="3:16" ht="12.75">
      <c r="C20" s="11" t="s">
        <v>123</v>
      </c>
      <c r="D20" s="11"/>
      <c r="E20" s="12">
        <f>SUM(E16:E19)</f>
        <v>167546</v>
      </c>
      <c r="F20" s="11"/>
      <c r="G20" s="12">
        <f>SUM(G16:G19)</f>
        <v>137947</v>
      </c>
      <c r="H20" s="10"/>
      <c r="I20" s="12">
        <f>SUM(I16:I19)</f>
        <v>1952</v>
      </c>
      <c r="J20" s="15"/>
      <c r="K20" s="12">
        <f>SUM(K16:K19)</f>
        <v>1743</v>
      </c>
      <c r="L20" s="13"/>
      <c r="M20" s="45">
        <f>I20/E20*100*4</f>
        <v>4.660212717701408</v>
      </c>
      <c r="N20" s="38"/>
      <c r="O20" s="45">
        <f>K20/G20*100*4</f>
        <v>5.054114986190348</v>
      </c>
      <c r="P20" s="38"/>
    </row>
    <row r="21" spans="5:16" ht="12.75">
      <c r="E21" s="15"/>
      <c r="G21" s="15"/>
      <c r="H21" s="10"/>
      <c r="I21" s="15"/>
      <c r="J21" s="15"/>
      <c r="K21" s="15"/>
      <c r="L21" s="15"/>
      <c r="M21" s="38"/>
      <c r="N21" s="38"/>
      <c r="O21" s="38"/>
      <c r="P21" s="38"/>
    </row>
    <row r="22" spans="1:16" ht="12.75">
      <c r="A22" s="11" t="s">
        <v>124</v>
      </c>
      <c r="B22" s="7"/>
      <c r="C22" s="7"/>
      <c r="D22" s="7"/>
      <c r="E22" s="12">
        <v>36358</v>
      </c>
      <c r="F22" s="11"/>
      <c r="G22" s="12">
        <f>8214+1286</f>
        <v>9500</v>
      </c>
      <c r="H22" s="10"/>
      <c r="I22" s="12">
        <v>91</v>
      </c>
      <c r="J22" s="15"/>
      <c r="K22" s="12">
        <v>76</v>
      </c>
      <c r="L22" s="13"/>
      <c r="M22" s="46">
        <f>I22/E22*100*4</f>
        <v>1.001155179052753</v>
      </c>
      <c r="N22" s="38"/>
      <c r="O22" s="46">
        <f>K22/G22*100*4</f>
        <v>3.2</v>
      </c>
      <c r="P22" s="38"/>
    </row>
    <row r="23" spans="5:16" ht="12.75">
      <c r="E23" s="15"/>
      <c r="G23" s="15"/>
      <c r="H23" s="10"/>
      <c r="I23" s="15"/>
      <c r="J23" s="15"/>
      <c r="K23" s="15"/>
      <c r="L23" s="15"/>
      <c r="M23" s="38"/>
      <c r="N23" s="38"/>
      <c r="O23" s="38"/>
      <c r="P23" s="38"/>
    </row>
    <row r="24" spans="2:16" ht="12.75">
      <c r="B24" s="11" t="s">
        <v>203</v>
      </c>
      <c r="C24" s="11"/>
      <c r="D24" s="11"/>
      <c r="E24" s="10">
        <f>E13+E20+E22</f>
        <v>744007</v>
      </c>
      <c r="F24" s="11"/>
      <c r="G24" s="10">
        <f>G13+G20+G22</f>
        <v>720197</v>
      </c>
      <c r="H24" s="10"/>
      <c r="I24" s="12">
        <f>I13+I20+I22</f>
        <v>9515</v>
      </c>
      <c r="J24" s="20"/>
      <c r="K24" s="12">
        <f>K13+K20+K22</f>
        <v>10436</v>
      </c>
      <c r="L24" s="13"/>
      <c r="M24" s="46">
        <f>ROUND(I24/E24*100*4,2)</f>
        <v>5.12</v>
      </c>
      <c r="N24" s="38"/>
      <c r="O24" s="46">
        <f>ROUND(K24/G24*100*4,2)</f>
        <v>5.8</v>
      </c>
      <c r="P24" s="38"/>
    </row>
    <row r="25" spans="1:16" ht="12.75">
      <c r="A25" s="11"/>
      <c r="B25" s="11"/>
      <c r="C25" s="11"/>
      <c r="D25" s="11"/>
      <c r="E25" s="10"/>
      <c r="F25" s="11"/>
      <c r="G25" s="10"/>
      <c r="H25" s="10"/>
      <c r="I25" s="13"/>
      <c r="J25" s="20"/>
      <c r="K25" s="13"/>
      <c r="L25" s="13"/>
      <c r="M25" s="47"/>
      <c r="N25" s="38"/>
      <c r="O25" s="47"/>
      <c r="P25" s="38"/>
    </row>
    <row r="26" spans="1:12" ht="12.75">
      <c r="A26" s="11" t="s">
        <v>201</v>
      </c>
      <c r="B26" s="11"/>
      <c r="C26" s="11"/>
      <c r="D26" s="11"/>
      <c r="E26" s="12">
        <v>70225</v>
      </c>
      <c r="F26" s="11"/>
      <c r="G26" s="12">
        <f>66271-1286</f>
        <v>64985</v>
      </c>
      <c r="H26" s="10"/>
      <c r="I26" s="109"/>
      <c r="J26" s="15"/>
      <c r="K26" s="109"/>
      <c r="L26" s="10"/>
    </row>
    <row r="27" spans="5:12" ht="12.75">
      <c r="E27" s="15"/>
      <c r="G27" s="15"/>
      <c r="H27" s="10"/>
      <c r="I27" s="15"/>
      <c r="J27" s="15"/>
      <c r="K27" s="15"/>
      <c r="L27" s="15"/>
    </row>
    <row r="28" spans="2:12" ht="13.5" thickBot="1">
      <c r="B28" s="11"/>
      <c r="C28" s="11" t="s">
        <v>125</v>
      </c>
      <c r="D28" s="11"/>
      <c r="E28" s="16">
        <f>SUM(E24:E26)</f>
        <v>814232</v>
      </c>
      <c r="F28" s="11"/>
      <c r="G28" s="16">
        <f>SUM(G24:G26)</f>
        <v>785182</v>
      </c>
      <c r="H28" s="15"/>
      <c r="I28" s="15"/>
      <c r="J28" s="15"/>
      <c r="K28" s="15"/>
      <c r="L28" s="15"/>
    </row>
    <row r="29" spans="5:12" ht="13.5" thickTop="1">
      <c r="E29" s="15"/>
      <c r="G29" s="15"/>
      <c r="H29" s="15"/>
      <c r="I29" s="15"/>
      <c r="J29" s="15"/>
      <c r="K29" s="15"/>
      <c r="L29" s="15"/>
    </row>
    <row r="30" spans="1:16" ht="12.75">
      <c r="A30" s="11" t="s">
        <v>126</v>
      </c>
      <c r="B30" s="11"/>
      <c r="C30" s="11"/>
      <c r="D30" s="11"/>
      <c r="E30" s="10"/>
      <c r="F30" s="11"/>
      <c r="G30" s="10"/>
      <c r="H30" s="10"/>
      <c r="I30" s="10"/>
      <c r="J30" s="15"/>
      <c r="K30" s="10"/>
      <c r="L30" s="10"/>
      <c r="M30" s="44" t="s">
        <v>56</v>
      </c>
      <c r="N30" s="38"/>
      <c r="O30" s="44" t="s">
        <v>56</v>
      </c>
      <c r="P30" s="38"/>
    </row>
    <row r="31" spans="2:16" ht="12.75">
      <c r="B31" s="11" t="s">
        <v>127</v>
      </c>
      <c r="C31" s="11"/>
      <c r="D31" s="11"/>
      <c r="E31" s="8">
        <v>94764</v>
      </c>
      <c r="F31" s="11"/>
      <c r="G31" s="8">
        <v>112556</v>
      </c>
      <c r="H31" s="10"/>
      <c r="I31" s="10">
        <v>27</v>
      </c>
      <c r="J31" s="20"/>
      <c r="K31" s="10">
        <v>203</v>
      </c>
      <c r="L31" s="10"/>
      <c r="M31" s="38">
        <f>I31/E31*100*4</f>
        <v>0.11396732936558188</v>
      </c>
      <c r="N31" s="38"/>
      <c r="O31" s="38">
        <f>K31/G31*100*4</f>
        <v>0.721418671594584</v>
      </c>
      <c r="P31" s="38"/>
    </row>
    <row r="32" spans="2:16" ht="12.75">
      <c r="B32" s="11" t="s">
        <v>128</v>
      </c>
      <c r="C32" s="11"/>
      <c r="D32" s="11"/>
      <c r="E32" s="10">
        <v>72342</v>
      </c>
      <c r="F32" s="11"/>
      <c r="G32" s="10">
        <v>57514</v>
      </c>
      <c r="H32" s="10"/>
      <c r="I32" s="10">
        <v>74</v>
      </c>
      <c r="J32" s="15"/>
      <c r="K32" s="10">
        <v>232</v>
      </c>
      <c r="L32" s="10"/>
      <c r="M32" s="38">
        <f>I32/E32*100*4</f>
        <v>0.40916756517652264</v>
      </c>
      <c r="N32" s="38"/>
      <c r="O32" s="38">
        <f>K32/G32*100*4</f>
        <v>1.6135201863894006</v>
      </c>
      <c r="P32" s="38"/>
    </row>
    <row r="33" spans="2:16" ht="12.75">
      <c r="B33" s="11" t="s">
        <v>129</v>
      </c>
      <c r="C33" s="11"/>
      <c r="D33" s="11"/>
      <c r="E33" s="10">
        <v>62026</v>
      </c>
      <c r="F33" s="11"/>
      <c r="G33" s="10">
        <v>60169</v>
      </c>
      <c r="H33" s="10"/>
      <c r="I33" s="10">
        <v>33</v>
      </c>
      <c r="J33" s="15"/>
      <c r="K33" s="10">
        <v>55</v>
      </c>
      <c r="L33" s="10"/>
      <c r="M33" s="38">
        <f>I33/E33*100*4</f>
        <v>0.2128139812336762</v>
      </c>
      <c r="N33" s="38"/>
      <c r="O33" s="38">
        <f>K33/G33*100*4</f>
        <v>0.36563678970898633</v>
      </c>
      <c r="P33" s="38"/>
    </row>
    <row r="34" spans="2:16" ht="12.75">
      <c r="B34" s="11" t="s">
        <v>130</v>
      </c>
      <c r="C34" s="11"/>
      <c r="D34" s="11"/>
      <c r="E34" s="12">
        <f>280413-9820</f>
        <v>270593</v>
      </c>
      <c r="F34" s="11"/>
      <c r="G34" s="12">
        <f>269914-8452</f>
        <v>261462</v>
      </c>
      <c r="H34" s="10"/>
      <c r="I34" s="12">
        <v>1637</v>
      </c>
      <c r="J34" s="15"/>
      <c r="K34" s="12">
        <v>2247</v>
      </c>
      <c r="L34" s="13"/>
      <c r="M34" s="46">
        <f>I34/E34*100*4</f>
        <v>2.4198704327162934</v>
      </c>
      <c r="N34" s="38"/>
      <c r="O34" s="46">
        <f>K34/G34*100*4</f>
        <v>3.437593225784244</v>
      </c>
      <c r="P34" s="38"/>
    </row>
    <row r="35" spans="2:16" ht="12.75">
      <c r="B35" s="11"/>
      <c r="C35" s="11" t="s">
        <v>131</v>
      </c>
      <c r="D35" s="11"/>
      <c r="E35" s="10">
        <f>SUM(E31:E34)</f>
        <v>499725</v>
      </c>
      <c r="F35" s="11"/>
      <c r="G35" s="10">
        <f>SUM(G31:G34)</f>
        <v>491701</v>
      </c>
      <c r="H35" s="10"/>
      <c r="I35" s="10">
        <f>SUM(I31:I34)</f>
        <v>1771</v>
      </c>
      <c r="J35" s="15"/>
      <c r="K35" s="10">
        <f>SUM(K31:K34)</f>
        <v>2737</v>
      </c>
      <c r="L35" s="10"/>
      <c r="M35" s="38">
        <f>I35/E35*100*4</f>
        <v>1.4175796688178497</v>
      </c>
      <c r="N35" s="38"/>
      <c r="O35" s="38">
        <f>K35/G35*100*4</f>
        <v>2.2265563828424186</v>
      </c>
      <c r="P35" s="38"/>
    </row>
    <row r="36" spans="1:16" ht="12.75">
      <c r="A36" s="11"/>
      <c r="B36" s="11"/>
      <c r="C36" s="11"/>
      <c r="D36" s="11"/>
      <c r="E36" s="10"/>
      <c r="F36" s="11"/>
      <c r="G36" s="10"/>
      <c r="H36" s="10"/>
      <c r="I36" s="10"/>
      <c r="J36" s="15"/>
      <c r="K36" s="10"/>
      <c r="L36" s="10"/>
      <c r="M36" s="38"/>
      <c r="N36" s="38"/>
      <c r="O36" s="38"/>
      <c r="P36" s="38"/>
    </row>
    <row r="37" spans="1:16" ht="12.75">
      <c r="A37" s="11" t="s">
        <v>157</v>
      </c>
      <c r="B37" s="11"/>
      <c r="C37" s="11"/>
      <c r="D37" s="11"/>
      <c r="E37" s="13">
        <v>70014</v>
      </c>
      <c r="F37" s="41"/>
      <c r="G37" s="13">
        <v>49868</v>
      </c>
      <c r="H37" s="13"/>
      <c r="I37" s="19">
        <v>127</v>
      </c>
      <c r="J37" s="26"/>
      <c r="K37" s="19">
        <v>274</v>
      </c>
      <c r="L37" s="13"/>
      <c r="M37" s="38">
        <f>I37/E37*100*4</f>
        <v>0.7255691718799098</v>
      </c>
      <c r="N37" s="38"/>
      <c r="O37" s="38">
        <f>K37/G37*100*4</f>
        <v>2.197802197802198</v>
      </c>
      <c r="P37" s="38"/>
    </row>
    <row r="38" spans="1:16" ht="12.75">
      <c r="A38" s="11" t="s">
        <v>166</v>
      </c>
      <c r="B38" s="11"/>
      <c r="C38" s="11"/>
      <c r="D38" s="11"/>
      <c r="E38" s="13">
        <v>91</v>
      </c>
      <c r="F38" s="41"/>
      <c r="G38" s="13">
        <v>6788</v>
      </c>
      <c r="H38" s="13"/>
      <c r="I38" s="19">
        <v>0.0887</v>
      </c>
      <c r="J38" s="26"/>
      <c r="K38" s="19">
        <v>15</v>
      </c>
      <c r="L38" s="13"/>
      <c r="M38" s="38">
        <f>I38/E38*100*4</f>
        <v>0.38989010989010986</v>
      </c>
      <c r="N38" s="38"/>
      <c r="O38" s="38">
        <f>K38/G38*100*4</f>
        <v>0.8839127872716559</v>
      </c>
      <c r="P38" s="38"/>
    </row>
    <row r="39" spans="1:16" ht="12.75">
      <c r="A39" s="11" t="s">
        <v>167</v>
      </c>
      <c r="B39" s="11"/>
      <c r="C39" s="11"/>
      <c r="D39" s="11"/>
      <c r="E39" s="23">
        <f>8668+20619</f>
        <v>29287</v>
      </c>
      <c r="F39" s="11"/>
      <c r="G39" s="23">
        <f>13817+20619</f>
        <v>34436</v>
      </c>
      <c r="H39" s="10"/>
      <c r="I39" s="48">
        <v>409</v>
      </c>
      <c r="J39" s="15"/>
      <c r="K39" s="48">
        <v>477</v>
      </c>
      <c r="L39" s="13"/>
      <c r="M39" s="46">
        <f>I39/E39*100*4</f>
        <v>5.586096220165944</v>
      </c>
      <c r="N39" s="38"/>
      <c r="O39" s="46">
        <f>K39/G39*100*4</f>
        <v>5.54071320710884</v>
      </c>
      <c r="P39" s="38"/>
    </row>
    <row r="40" spans="3:16" ht="12.75">
      <c r="C40" s="11"/>
      <c r="D40" s="11"/>
      <c r="E40" s="10"/>
      <c r="F40" s="11"/>
      <c r="G40" s="10"/>
      <c r="H40" s="10"/>
      <c r="I40" s="10"/>
      <c r="J40" s="15"/>
      <c r="K40" s="10"/>
      <c r="L40" s="10"/>
      <c r="M40" s="38"/>
      <c r="N40" s="38"/>
      <c r="O40" s="38"/>
      <c r="P40" s="38"/>
    </row>
    <row r="41" spans="2:16" ht="12.75">
      <c r="B41" s="11" t="s">
        <v>214</v>
      </c>
      <c r="C41" s="11"/>
      <c r="D41" s="11"/>
      <c r="E41" s="10">
        <f>SUM(E35:E39)</f>
        <v>599117</v>
      </c>
      <c r="F41" s="11"/>
      <c r="G41" s="10">
        <f>SUM(G35:G39)</f>
        <v>582793</v>
      </c>
      <c r="H41" s="10"/>
      <c r="I41" s="23">
        <f>SUM(I35:I39)</f>
        <v>2307.0887000000002</v>
      </c>
      <c r="J41" s="20"/>
      <c r="K41" s="23">
        <f>SUM(K35:K39)</f>
        <v>3503</v>
      </c>
      <c r="L41" s="13"/>
      <c r="M41" s="46">
        <f>ROUND(I41/E41*100*4,2)</f>
        <v>1.54</v>
      </c>
      <c r="N41" s="38"/>
      <c r="O41" s="46">
        <f>ROUND(K41/G41*100*4,2)</f>
        <v>2.4</v>
      </c>
      <c r="P41" s="38"/>
    </row>
    <row r="42" spans="1:16" ht="12.75">
      <c r="A42" s="11"/>
      <c r="B42" s="11"/>
      <c r="C42" s="11"/>
      <c r="D42" s="11"/>
      <c r="E42" s="10"/>
      <c r="F42" s="11"/>
      <c r="G42" s="10"/>
      <c r="H42" s="10"/>
      <c r="I42" s="13"/>
      <c r="J42" s="20"/>
      <c r="K42" s="13"/>
      <c r="L42" s="13"/>
      <c r="M42" s="47"/>
      <c r="N42" s="38"/>
      <c r="O42" s="47"/>
      <c r="P42" s="38"/>
    </row>
    <row r="43" spans="1:12" ht="12.75">
      <c r="A43" s="11" t="s">
        <v>213</v>
      </c>
      <c r="B43" s="11"/>
      <c r="C43" s="11"/>
      <c r="D43" s="11"/>
      <c r="E43" s="10">
        <f>105371-590</f>
        <v>104781</v>
      </c>
      <c r="F43" s="11"/>
      <c r="G43" s="10">
        <f>99742-1247</f>
        <v>98495</v>
      </c>
      <c r="H43" s="15"/>
      <c r="I43" s="15"/>
      <c r="J43" s="15"/>
      <c r="K43" s="15"/>
      <c r="L43" s="15"/>
    </row>
    <row r="44" spans="1:12" ht="12.75">
      <c r="A44" s="11" t="s">
        <v>132</v>
      </c>
      <c r="B44" s="11"/>
      <c r="C44" s="11"/>
      <c r="D44" s="11"/>
      <c r="E44" s="10">
        <f>-5378+9820+590</f>
        <v>5032</v>
      </c>
      <c r="F44" s="11"/>
      <c r="G44" s="10">
        <f>-8931+8452+1247</f>
        <v>768</v>
      </c>
      <c r="H44" s="15"/>
      <c r="I44" s="107"/>
      <c r="J44" s="15"/>
      <c r="K44" s="107"/>
      <c r="L44" s="15"/>
    </row>
    <row r="45" spans="1:12" ht="12.75">
      <c r="A45" s="11" t="s">
        <v>85</v>
      </c>
      <c r="B45" s="11"/>
      <c r="C45" s="11"/>
      <c r="D45" s="11"/>
      <c r="E45" s="12">
        <v>105302</v>
      </c>
      <c r="F45" s="11"/>
      <c r="G45" s="12">
        <v>103126</v>
      </c>
      <c r="H45" s="15"/>
      <c r="I45" s="15"/>
      <c r="J45" s="15"/>
      <c r="K45" s="15"/>
      <c r="L45" s="15"/>
    </row>
    <row r="46" spans="2:12" ht="12.75">
      <c r="B46" s="11"/>
      <c r="C46" s="11" t="s">
        <v>133</v>
      </c>
      <c r="D46" s="11"/>
      <c r="E46" s="15"/>
      <c r="F46" s="11"/>
      <c r="G46" s="15"/>
      <c r="H46" s="15"/>
      <c r="I46" s="15"/>
      <c r="J46" s="15"/>
      <c r="K46" s="15"/>
      <c r="L46" s="15"/>
    </row>
    <row r="47" spans="2:12" ht="13.5" thickBot="1">
      <c r="B47" s="11"/>
      <c r="C47" s="11"/>
      <c r="D47" s="11"/>
      <c r="E47" s="16">
        <f>SUM(E41:E45)</f>
        <v>814232</v>
      </c>
      <c r="F47" s="11"/>
      <c r="G47" s="16">
        <f>SUM(G41:G45)</f>
        <v>785182</v>
      </c>
      <c r="H47" s="15"/>
      <c r="I47" s="15"/>
      <c r="J47" s="15"/>
      <c r="K47" s="15"/>
      <c r="L47" s="15"/>
    </row>
    <row r="48" spans="5:12" ht="13.5" thickTop="1">
      <c r="E48" s="15"/>
      <c r="G48" s="15"/>
      <c r="H48" s="15"/>
      <c r="I48" s="15"/>
      <c r="J48" s="15"/>
      <c r="K48" s="15"/>
      <c r="L48" s="15"/>
    </row>
    <row r="49" spans="1:16" ht="13.5" thickBot="1">
      <c r="A49" s="11" t="s">
        <v>115</v>
      </c>
      <c r="B49" s="11"/>
      <c r="C49" s="11"/>
      <c r="D49" s="11"/>
      <c r="E49" s="10"/>
      <c r="F49" s="11"/>
      <c r="G49" s="10"/>
      <c r="H49" s="10"/>
      <c r="I49" s="10"/>
      <c r="J49" s="10"/>
      <c r="K49" s="10"/>
      <c r="L49" s="10"/>
      <c r="M49" s="49">
        <f>M24-M41</f>
        <v>3.58</v>
      </c>
      <c r="N49" s="44" t="s">
        <v>35</v>
      </c>
      <c r="O49" s="49">
        <f>O24-O41</f>
        <v>3.4</v>
      </c>
      <c r="P49" s="44" t="s">
        <v>35</v>
      </c>
    </row>
    <row r="50" spans="1:16" ht="14.25" thickBot="1" thickTop="1">
      <c r="A50" s="11" t="s">
        <v>116</v>
      </c>
      <c r="B50" s="11"/>
      <c r="C50" s="11"/>
      <c r="D50" s="11"/>
      <c r="E50" s="15"/>
      <c r="F50" s="11"/>
      <c r="G50" s="15"/>
      <c r="H50" s="15"/>
      <c r="I50" s="15"/>
      <c r="J50" s="15"/>
      <c r="K50" s="15"/>
      <c r="L50" s="15"/>
      <c r="M50" s="50">
        <f>I52/E24*100*4</f>
        <v>3.8751846689614475</v>
      </c>
      <c r="N50" s="44" t="s">
        <v>35</v>
      </c>
      <c r="O50" s="50">
        <f>K52/G24*100*4</f>
        <v>3.8506130961389733</v>
      </c>
      <c r="P50" s="44" t="s">
        <v>35</v>
      </c>
    </row>
    <row r="51" spans="1:16" ht="13.5" thickTop="1">
      <c r="A51" s="11"/>
      <c r="B51" s="11"/>
      <c r="C51" s="11"/>
      <c r="D51" s="11"/>
      <c r="E51" s="15"/>
      <c r="F51" s="11"/>
      <c r="G51" s="15"/>
      <c r="H51" s="15"/>
      <c r="I51" s="15"/>
      <c r="J51" s="15"/>
      <c r="K51" s="15"/>
      <c r="L51" s="15"/>
      <c r="M51" s="51"/>
      <c r="N51" s="44"/>
      <c r="O51" s="51"/>
      <c r="P51" s="44"/>
    </row>
    <row r="52" spans="1:12" ht="12.75">
      <c r="A52" s="11" t="s">
        <v>117</v>
      </c>
      <c r="B52" s="11"/>
      <c r="C52" s="11"/>
      <c r="D52" s="11"/>
      <c r="E52" s="15"/>
      <c r="F52" s="11"/>
      <c r="G52" s="15"/>
      <c r="H52" s="15"/>
      <c r="I52" s="10">
        <f>I24-I41</f>
        <v>7207.9113</v>
      </c>
      <c r="J52" s="10"/>
      <c r="K52" s="10">
        <f>K24-K41</f>
        <v>6933</v>
      </c>
      <c r="L52" s="13"/>
    </row>
    <row r="53" spans="1:16" ht="12.75">
      <c r="A53" s="11" t="s">
        <v>179</v>
      </c>
      <c r="B53" s="11"/>
      <c r="C53" s="11"/>
      <c r="D53" s="11"/>
      <c r="E53" s="10"/>
      <c r="F53" s="11"/>
      <c r="G53" s="10"/>
      <c r="H53" s="10"/>
      <c r="I53" s="10">
        <v>258</v>
      </c>
      <c r="J53" s="10"/>
      <c r="K53" s="10">
        <v>211</v>
      </c>
      <c r="L53" s="13"/>
      <c r="M53" s="38"/>
      <c r="N53" s="38"/>
      <c r="O53" s="38"/>
      <c r="P53" s="38"/>
    </row>
    <row r="54" spans="1:16" ht="13.5" thickBot="1">
      <c r="A54" s="11" t="s">
        <v>61</v>
      </c>
      <c r="B54" s="11"/>
      <c r="C54" s="11"/>
      <c r="D54" s="11"/>
      <c r="E54" s="15"/>
      <c r="G54" s="15"/>
      <c r="H54" s="15"/>
      <c r="I54" s="113">
        <f>+I52-I53</f>
        <v>6949.9113</v>
      </c>
      <c r="J54" s="26"/>
      <c r="K54" s="113">
        <f>+K52-K53</f>
        <v>6722</v>
      </c>
      <c r="L54" s="10"/>
      <c r="M54" s="38"/>
      <c r="N54" s="38"/>
      <c r="O54" s="38"/>
      <c r="P54" s="38"/>
    </row>
    <row r="55" ht="13.5" thickTop="1"/>
    <row r="56" spans="5:13" ht="12.75">
      <c r="E56" s="15"/>
      <c r="G56" s="15"/>
      <c r="H56" s="15"/>
      <c r="I56" s="15"/>
      <c r="J56" s="15"/>
      <c r="K56" s="15"/>
      <c r="L56" s="15"/>
      <c r="M56" s="94"/>
    </row>
    <row r="57" spans="8:12" ht="12.75">
      <c r="H57" s="15"/>
      <c r="I57" s="15"/>
      <c r="J57" s="15"/>
      <c r="K57" s="15"/>
      <c r="L57" s="15"/>
    </row>
  </sheetData>
  <mergeCells count="8">
    <mergeCell ref="C1:P1"/>
    <mergeCell ref="C2:P2"/>
    <mergeCell ref="I5:K5"/>
    <mergeCell ref="E6:G6"/>
    <mergeCell ref="I6:K6"/>
    <mergeCell ref="M6:O6"/>
    <mergeCell ref="C3:P3"/>
    <mergeCell ref="M5:O5"/>
  </mergeCells>
  <printOptions/>
  <pageMargins left="0.5" right="0.5" top="0.5" bottom="0.5" header="0.25" footer="0.2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60"/>
  <sheetViews>
    <sheetView showGridLines="0" tabSelected="1" workbookViewId="0" topLeftCell="A1">
      <selection activeCell="A1" sqref="A1:P54"/>
    </sheetView>
  </sheetViews>
  <sheetFormatPr defaultColWidth="9.7109375" defaultRowHeight="12.75"/>
  <cols>
    <col min="1" max="3" width="2.7109375" style="114" customWidth="1"/>
    <col min="4" max="4" width="24.7109375" style="114" customWidth="1"/>
    <col min="5" max="5" width="9.7109375" style="114" bestFit="1" customWidth="1"/>
    <col min="6" max="6" width="1.7109375" style="114" customWidth="1"/>
    <col min="7" max="7" width="9.7109375" style="114" bestFit="1" customWidth="1"/>
    <col min="8" max="8" width="3.7109375" style="116" customWidth="1"/>
    <col min="9" max="9" width="8.7109375" style="114" bestFit="1" customWidth="1"/>
    <col min="10" max="10" width="1.7109375" style="114" customWidth="1"/>
    <col min="11" max="11" width="8.7109375" style="114" bestFit="1" customWidth="1"/>
    <col min="12" max="12" width="3.7109375" style="114" customWidth="1"/>
    <col min="13" max="13" width="7.00390625" style="114" customWidth="1"/>
    <col min="14" max="14" width="2.00390625" style="114" customWidth="1"/>
    <col min="15" max="15" width="6.8515625" style="114" customWidth="1"/>
    <col min="16" max="16" width="2.00390625" style="114" customWidth="1"/>
    <col min="17" max="16384" width="9.7109375" style="114" customWidth="1"/>
  </cols>
  <sheetData>
    <row r="1" spans="1:16" ht="12.75" customHeight="1">
      <c r="A1" s="177" t="s">
        <v>175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2.75" customHeight="1">
      <c r="A2" s="180" t="s">
        <v>223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ht="12.75" customHeight="1">
      <c r="B3" s="180" t="s">
        <v>222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2:16" ht="12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9:16" ht="12.75" customHeight="1">
      <c r="I5" s="180" t="s">
        <v>111</v>
      </c>
      <c r="J5" s="180"/>
      <c r="K5" s="180"/>
      <c r="L5" s="117"/>
      <c r="M5" s="180" t="s">
        <v>224</v>
      </c>
      <c r="N5" s="180"/>
      <c r="O5" s="180"/>
      <c r="P5" s="180"/>
    </row>
    <row r="6" spans="5:16" ht="12.75" customHeight="1">
      <c r="E6" s="179" t="s">
        <v>112</v>
      </c>
      <c r="F6" s="179"/>
      <c r="G6" s="179"/>
      <c r="H6" s="179"/>
      <c r="I6" s="178" t="s">
        <v>113</v>
      </c>
      <c r="J6" s="178"/>
      <c r="K6" s="178"/>
      <c r="L6" s="118"/>
      <c r="M6" s="178" t="s">
        <v>114</v>
      </c>
      <c r="N6" s="178"/>
      <c r="O6" s="178"/>
      <c r="P6" s="178"/>
    </row>
    <row r="7" ht="12.75" customHeight="1">
      <c r="J7" s="116"/>
    </row>
    <row r="8" spans="5:15" ht="12.75" customHeight="1">
      <c r="E8" s="119">
        <v>2009</v>
      </c>
      <c r="G8" s="119">
        <v>2008</v>
      </c>
      <c r="H8" s="114"/>
      <c r="I8" s="119">
        <v>2009</v>
      </c>
      <c r="K8" s="119">
        <v>2008</v>
      </c>
      <c r="M8" s="120">
        <v>2009</v>
      </c>
      <c r="O8" s="119">
        <v>2008</v>
      </c>
    </row>
    <row r="9" spans="1:15" ht="12.75" customHeight="1">
      <c r="A9" s="11" t="s">
        <v>118</v>
      </c>
      <c r="B9" s="11"/>
      <c r="C9" s="11"/>
      <c r="D9" s="11"/>
      <c r="E9" s="121"/>
      <c r="F9" s="121"/>
      <c r="G9" s="121"/>
      <c r="H9" s="121"/>
      <c r="I9" s="122"/>
      <c r="K9" s="122"/>
      <c r="M9" s="122"/>
      <c r="O9" s="122"/>
    </row>
    <row r="10" spans="1:16" ht="12.75" customHeight="1">
      <c r="A10" s="2"/>
      <c r="B10" s="11" t="s">
        <v>119</v>
      </c>
      <c r="C10" s="11"/>
      <c r="D10" s="11"/>
      <c r="E10" s="123">
        <v>88551</v>
      </c>
      <c r="F10" s="121"/>
      <c r="G10" s="123">
        <v>91117</v>
      </c>
      <c r="H10" s="121"/>
      <c r="I10" s="123">
        <f>4177+36</f>
        <v>4213</v>
      </c>
      <c r="J10" s="124"/>
      <c r="K10" s="123">
        <f>5495+20</f>
        <v>5515</v>
      </c>
      <c r="L10" s="124"/>
      <c r="M10" s="125">
        <f>I10/E10*100</f>
        <v>4.757710246072885</v>
      </c>
      <c r="N10" s="126" t="s">
        <v>35</v>
      </c>
      <c r="O10" s="125">
        <f>K10/G10*100</f>
        <v>6.052657572132533</v>
      </c>
      <c r="P10" s="126" t="s">
        <v>35</v>
      </c>
    </row>
    <row r="11" spans="1:16" ht="12.75" customHeight="1">
      <c r="A11" s="2"/>
      <c r="B11" s="11" t="s">
        <v>176</v>
      </c>
      <c r="C11" s="11"/>
      <c r="D11" s="11"/>
      <c r="E11" s="127">
        <f>457657+5436</f>
        <v>463093</v>
      </c>
      <c r="F11" s="121"/>
      <c r="G11" s="127">
        <v>467508</v>
      </c>
      <c r="H11" s="121"/>
      <c r="I11" s="127">
        <f>26226+68</f>
        <v>26294</v>
      </c>
      <c r="J11" s="128"/>
      <c r="K11" s="127">
        <f>29651+61</f>
        <v>29712</v>
      </c>
      <c r="L11" s="128"/>
      <c r="M11" s="125">
        <f>I11/E11*100</f>
        <v>5.677909188867031</v>
      </c>
      <c r="N11" s="125"/>
      <c r="O11" s="125">
        <f>K11/G11*100</f>
        <v>6.355399265894915</v>
      </c>
      <c r="P11" s="125"/>
    </row>
    <row r="12" spans="1:16" ht="12.75" customHeight="1">
      <c r="A12" s="2"/>
      <c r="B12" s="11" t="s">
        <v>120</v>
      </c>
      <c r="C12" s="11"/>
      <c r="D12" s="11"/>
      <c r="E12" s="129">
        <v>7623</v>
      </c>
      <c r="F12" s="121"/>
      <c r="G12" s="129">
        <v>8774</v>
      </c>
      <c r="H12" s="121"/>
      <c r="I12" s="129">
        <v>659</v>
      </c>
      <c r="J12" s="128"/>
      <c r="K12" s="129">
        <v>795</v>
      </c>
      <c r="L12" s="128"/>
      <c r="M12" s="125">
        <f>I12/E12*100</f>
        <v>8.644890463072281</v>
      </c>
      <c r="N12" s="125"/>
      <c r="O12" s="125">
        <f>K12/G12*100</f>
        <v>9.06086163665375</v>
      </c>
      <c r="P12" s="125"/>
    </row>
    <row r="13" spans="1:16" ht="12.75" customHeight="1">
      <c r="A13" s="2"/>
      <c r="B13" s="11"/>
      <c r="C13" s="11" t="s">
        <v>88</v>
      </c>
      <c r="D13" s="11"/>
      <c r="E13" s="129">
        <f>SUM(E10:E12)</f>
        <v>559267</v>
      </c>
      <c r="F13" s="121"/>
      <c r="G13" s="129">
        <f>SUM(G10:G12)</f>
        <v>567399</v>
      </c>
      <c r="H13" s="121"/>
      <c r="I13" s="129">
        <f>SUM(I10:I12)</f>
        <v>31166</v>
      </c>
      <c r="J13" s="128"/>
      <c r="K13" s="129">
        <f>SUM(K10:K12)</f>
        <v>36022</v>
      </c>
      <c r="L13" s="128"/>
      <c r="M13" s="130">
        <f>I13/E13*100</f>
        <v>5.572651345421775</v>
      </c>
      <c r="N13" s="125"/>
      <c r="O13" s="130">
        <f>K13/G13*100</f>
        <v>6.348618873138657</v>
      </c>
      <c r="P13" s="125"/>
    </row>
    <row r="14" spans="1:16" ht="12.75" customHeight="1">
      <c r="A14" s="2"/>
      <c r="B14" s="2"/>
      <c r="C14" s="2"/>
      <c r="D14" s="2"/>
      <c r="E14" s="128"/>
      <c r="G14" s="128"/>
      <c r="H14" s="114"/>
      <c r="I14" s="128"/>
      <c r="J14" s="128"/>
      <c r="K14" s="128"/>
      <c r="L14" s="128"/>
      <c r="M14" s="125"/>
      <c r="N14" s="125"/>
      <c r="O14" s="125"/>
      <c r="P14" s="125"/>
    </row>
    <row r="15" spans="1:16" ht="12.75" customHeight="1">
      <c r="A15" s="11" t="s">
        <v>121</v>
      </c>
      <c r="B15" s="11"/>
      <c r="C15" s="11"/>
      <c r="D15" s="11"/>
      <c r="E15" s="127"/>
      <c r="F15" s="121"/>
      <c r="G15" s="127"/>
      <c r="H15" s="121"/>
      <c r="I15" s="127"/>
      <c r="J15" s="128"/>
      <c r="K15" s="127"/>
      <c r="L15" s="128"/>
      <c r="M15" s="125"/>
      <c r="N15" s="125"/>
      <c r="O15" s="125"/>
      <c r="P15" s="125"/>
    </row>
    <row r="16" spans="1:16" ht="12.75" customHeight="1">
      <c r="A16" s="2"/>
      <c r="B16" s="91" t="s">
        <v>212</v>
      </c>
      <c r="C16" s="91"/>
      <c r="D16" s="91"/>
      <c r="E16" s="127">
        <v>52694</v>
      </c>
      <c r="F16" s="121"/>
      <c r="G16" s="127">
        <v>45660</v>
      </c>
      <c r="H16" s="121"/>
      <c r="I16" s="127">
        <v>2139</v>
      </c>
      <c r="J16" s="128"/>
      <c r="K16" s="127">
        <v>2215</v>
      </c>
      <c r="L16" s="128"/>
      <c r="M16" s="125">
        <f>I16/E16*100</f>
        <v>4.05928568717501</v>
      </c>
      <c r="N16" s="125"/>
      <c r="O16" s="125">
        <f>K16/G16*100</f>
        <v>4.85107314936487</v>
      </c>
      <c r="P16" s="125"/>
    </row>
    <row r="17" spans="1:16" ht="12.75" customHeight="1">
      <c r="A17" s="2"/>
      <c r="B17" t="s">
        <v>202</v>
      </c>
      <c r="C17"/>
      <c r="D17"/>
      <c r="E17" s="127">
        <v>40363</v>
      </c>
      <c r="F17" s="121"/>
      <c r="G17" s="127">
        <v>47997</v>
      </c>
      <c r="H17" s="121"/>
      <c r="I17" s="127">
        <v>2100</v>
      </c>
      <c r="J17" s="128"/>
      <c r="K17" s="127">
        <v>2433</v>
      </c>
      <c r="L17" s="128"/>
      <c r="M17" s="125">
        <f>I17/E17*100</f>
        <v>5.202784728588063</v>
      </c>
      <c r="N17" s="125"/>
      <c r="O17" s="125">
        <f>K17/G17*100</f>
        <v>5.069066816676042</v>
      </c>
      <c r="P17" s="125"/>
    </row>
    <row r="18" spans="1:16" ht="12.75" customHeight="1">
      <c r="A18" s="2"/>
      <c r="B18" s="11" t="s">
        <v>122</v>
      </c>
      <c r="C18" s="11"/>
      <c r="D18" s="11"/>
      <c r="E18" s="127">
        <v>52687</v>
      </c>
      <c r="F18" s="121"/>
      <c r="G18" s="127">
        <v>45573</v>
      </c>
      <c r="H18" s="121"/>
      <c r="I18" s="127">
        <f>2121+851</f>
        <v>2972</v>
      </c>
      <c r="J18" s="128"/>
      <c r="K18" s="127">
        <f>1719+786</f>
        <v>2505</v>
      </c>
      <c r="L18" s="128"/>
      <c r="M18" s="125">
        <f>I18/E18*100</f>
        <v>5.640860174236529</v>
      </c>
      <c r="N18" s="125"/>
      <c r="O18" s="125">
        <f>K18/G18*100</f>
        <v>5.4966756632216445</v>
      </c>
      <c r="P18" s="125"/>
    </row>
    <row r="19" spans="1:16" ht="12.75" customHeight="1">
      <c r="A19" s="2"/>
      <c r="B19" s="11" t="s">
        <v>177</v>
      </c>
      <c r="C19" s="11"/>
      <c r="D19" s="11"/>
      <c r="E19" s="129">
        <v>7493</v>
      </c>
      <c r="F19" s="121"/>
      <c r="G19" s="129">
        <v>6141</v>
      </c>
      <c r="H19" s="121"/>
      <c r="I19" s="129">
        <v>261</v>
      </c>
      <c r="J19" s="128"/>
      <c r="K19" s="129">
        <f>263+14</f>
        <v>277</v>
      </c>
      <c r="L19" s="128"/>
      <c r="M19" s="125">
        <f>I19/E19*100</f>
        <v>3.4832510342986787</v>
      </c>
      <c r="N19" s="125"/>
      <c r="O19" s="125">
        <f>K19/G19*100</f>
        <v>4.5106660153069535</v>
      </c>
      <c r="P19" s="125"/>
    </row>
    <row r="20" spans="1:16" ht="12.75" customHeight="1">
      <c r="A20" s="2"/>
      <c r="B20" s="2"/>
      <c r="C20" s="11" t="s">
        <v>123</v>
      </c>
      <c r="D20" s="11"/>
      <c r="E20" s="129">
        <f>SUM(E16:E19)</f>
        <v>153237</v>
      </c>
      <c r="F20" s="121"/>
      <c r="G20" s="129">
        <f>SUM(G16:G19)</f>
        <v>145371</v>
      </c>
      <c r="H20" s="121"/>
      <c r="I20" s="129">
        <f>SUM(I16:I19)</f>
        <v>7472</v>
      </c>
      <c r="J20" s="128"/>
      <c r="K20" s="129">
        <f>SUM(K16:K19)</f>
        <v>7430</v>
      </c>
      <c r="L20" s="128"/>
      <c r="M20" s="130">
        <f>I20/E20*100</f>
        <v>4.876106945450511</v>
      </c>
      <c r="N20" s="125"/>
      <c r="O20" s="130">
        <f>K20/G20*100</f>
        <v>5.111060665469729</v>
      </c>
      <c r="P20" s="125"/>
    </row>
    <row r="21" spans="1:16" ht="12.75" customHeight="1">
      <c r="A21" s="2"/>
      <c r="B21" s="2"/>
      <c r="C21" s="2"/>
      <c r="D21" s="2"/>
      <c r="E21" s="128"/>
      <c r="G21" s="128"/>
      <c r="H21" s="114"/>
      <c r="I21" s="128"/>
      <c r="J21" s="128"/>
      <c r="K21" s="128"/>
      <c r="L21" s="128"/>
      <c r="M21" s="125"/>
      <c r="N21" s="125"/>
      <c r="O21" s="125"/>
      <c r="P21" s="125"/>
    </row>
    <row r="22" spans="1:16" ht="12.75" customHeight="1">
      <c r="A22" s="11" t="s">
        <v>124</v>
      </c>
      <c r="B22" s="7"/>
      <c r="C22" s="7"/>
      <c r="D22" s="7"/>
      <c r="E22" s="129">
        <v>28804</v>
      </c>
      <c r="F22" s="121"/>
      <c r="G22" s="129">
        <f>8780+459</f>
        <v>9239</v>
      </c>
      <c r="H22" s="121"/>
      <c r="I22" s="129">
        <v>378</v>
      </c>
      <c r="J22" s="128"/>
      <c r="K22" s="129">
        <v>301</v>
      </c>
      <c r="L22" s="128"/>
      <c r="M22" s="131">
        <f>I22/E22*100</f>
        <v>1.3123177336481044</v>
      </c>
      <c r="N22" s="125"/>
      <c r="O22" s="131">
        <f>K22/G22*100</f>
        <v>3.2579283472237255</v>
      </c>
      <c r="P22" s="125"/>
    </row>
    <row r="23" spans="1:16" ht="12.75" customHeight="1">
      <c r="A23" s="2"/>
      <c r="B23" s="2"/>
      <c r="C23" s="2"/>
      <c r="D23" s="2"/>
      <c r="E23" s="128"/>
      <c r="G23" s="128"/>
      <c r="H23" s="114"/>
      <c r="I23" s="128"/>
      <c r="J23" s="128"/>
      <c r="K23" s="128"/>
      <c r="L23" s="128"/>
      <c r="M23" s="125"/>
      <c r="N23" s="125"/>
      <c r="O23" s="125"/>
      <c r="P23" s="125"/>
    </row>
    <row r="24" spans="1:16" ht="12.75" customHeight="1">
      <c r="A24" s="2"/>
      <c r="B24" s="11" t="s">
        <v>203</v>
      </c>
      <c r="C24" s="11"/>
      <c r="D24" s="11"/>
      <c r="E24" s="127">
        <f>E13+E20+E22</f>
        <v>741308</v>
      </c>
      <c r="F24" s="121"/>
      <c r="G24" s="127">
        <f>G13+G20+G22</f>
        <v>722009</v>
      </c>
      <c r="H24" s="121"/>
      <c r="I24" s="129">
        <f>I13+I20+I22</f>
        <v>39016</v>
      </c>
      <c r="J24" s="132"/>
      <c r="K24" s="129">
        <f>K13+K20+K22</f>
        <v>43753</v>
      </c>
      <c r="L24" s="132"/>
      <c r="M24" s="133">
        <f>ROUND(I24/E24*100,2)</f>
        <v>5.26</v>
      </c>
      <c r="N24" s="125"/>
      <c r="O24" s="133">
        <f>ROUND(K24/G24*100,2)</f>
        <v>6.06</v>
      </c>
      <c r="P24" s="125"/>
    </row>
    <row r="25" spans="1:16" ht="12.75" customHeight="1">
      <c r="A25" s="11"/>
      <c r="B25" s="11"/>
      <c r="C25" s="11"/>
      <c r="D25" s="11"/>
      <c r="E25" s="127"/>
      <c r="F25" s="121"/>
      <c r="G25" s="127"/>
      <c r="H25" s="121"/>
      <c r="I25" s="134"/>
      <c r="J25" s="132"/>
      <c r="K25" s="134"/>
      <c r="L25" s="132"/>
      <c r="M25" s="135"/>
      <c r="N25" s="125"/>
      <c r="O25" s="135"/>
      <c r="P25" s="125"/>
    </row>
    <row r="26" spans="1:12" ht="12.75" customHeight="1">
      <c r="A26" s="11" t="s">
        <v>201</v>
      </c>
      <c r="B26" s="11"/>
      <c r="C26" s="11"/>
      <c r="D26" s="11"/>
      <c r="E26" s="129">
        <v>68832</v>
      </c>
      <c r="F26" s="121"/>
      <c r="G26" s="129">
        <f>64318-459</f>
        <v>63859</v>
      </c>
      <c r="H26" s="121"/>
      <c r="I26" s="127"/>
      <c r="J26" s="128"/>
      <c r="K26" s="127"/>
      <c r="L26" s="128"/>
    </row>
    <row r="27" spans="1:12" ht="12.75" customHeight="1">
      <c r="A27" s="2"/>
      <c r="B27" s="2"/>
      <c r="C27" s="2"/>
      <c r="D27" s="2"/>
      <c r="E27" s="128"/>
      <c r="G27" s="128"/>
      <c r="H27" s="114"/>
      <c r="I27" s="128"/>
      <c r="J27" s="128"/>
      <c r="K27" s="128"/>
      <c r="L27" s="128"/>
    </row>
    <row r="28" spans="1:12" ht="12.75" customHeight="1" thickBot="1">
      <c r="A28" s="2"/>
      <c r="B28" s="11"/>
      <c r="C28" s="11" t="s">
        <v>125</v>
      </c>
      <c r="D28" s="11"/>
      <c r="E28" s="136">
        <f>SUM(E24:E26)</f>
        <v>810140</v>
      </c>
      <c r="F28" s="121"/>
      <c r="G28" s="136">
        <f>SUM(G24:G26)</f>
        <v>785868</v>
      </c>
      <c r="H28" s="121"/>
      <c r="I28" s="128"/>
      <c r="J28" s="128"/>
      <c r="K28" s="128"/>
      <c r="L28" s="128"/>
    </row>
    <row r="29" spans="1:12" ht="12.75" customHeight="1" thickTop="1">
      <c r="A29" s="2"/>
      <c r="B29" s="2"/>
      <c r="C29" s="2"/>
      <c r="D29" s="2"/>
      <c r="E29" s="137"/>
      <c r="G29" s="128"/>
      <c r="H29" s="114"/>
      <c r="I29" s="128"/>
      <c r="J29" s="128"/>
      <c r="K29" s="128"/>
      <c r="L29" s="128"/>
    </row>
    <row r="30" spans="1:16" ht="12.75" customHeight="1">
      <c r="A30" s="11" t="s">
        <v>126</v>
      </c>
      <c r="B30" s="11"/>
      <c r="C30" s="11"/>
      <c r="D30" s="11"/>
      <c r="E30" s="127"/>
      <c r="F30" s="121"/>
      <c r="G30" s="127"/>
      <c r="H30" s="121"/>
      <c r="I30" s="127"/>
      <c r="J30" s="128"/>
      <c r="K30" s="127"/>
      <c r="L30" s="128"/>
      <c r="M30" s="126" t="s">
        <v>56</v>
      </c>
      <c r="N30" s="125"/>
      <c r="O30" s="126" t="s">
        <v>56</v>
      </c>
      <c r="P30" s="125"/>
    </row>
    <row r="31" spans="1:16" ht="12.75" customHeight="1">
      <c r="A31" s="2"/>
      <c r="B31" s="11" t="s">
        <v>127</v>
      </c>
      <c r="C31" s="11"/>
      <c r="D31" s="11"/>
      <c r="E31" s="123">
        <v>98576</v>
      </c>
      <c r="F31" s="121"/>
      <c r="G31" s="123">
        <v>109492</v>
      </c>
      <c r="H31" s="121"/>
      <c r="I31" s="127">
        <v>290</v>
      </c>
      <c r="J31" s="132"/>
      <c r="K31" s="127">
        <v>803</v>
      </c>
      <c r="L31" s="132"/>
      <c r="M31" s="125">
        <f>I31/E31*100</f>
        <v>0.29418925499107285</v>
      </c>
      <c r="N31" s="125"/>
      <c r="O31" s="125">
        <f>K31/G31*100</f>
        <v>0.7333869141124466</v>
      </c>
      <c r="P31" s="125"/>
    </row>
    <row r="32" spans="1:16" ht="12.75" customHeight="1">
      <c r="A32" s="2"/>
      <c r="B32" s="11" t="s">
        <v>128</v>
      </c>
      <c r="C32" s="11"/>
      <c r="D32" s="11"/>
      <c r="E32" s="127">
        <v>72918</v>
      </c>
      <c r="F32" s="121"/>
      <c r="G32" s="127">
        <v>53659</v>
      </c>
      <c r="H32" s="121"/>
      <c r="I32" s="127">
        <v>527</v>
      </c>
      <c r="J32" s="128"/>
      <c r="K32" s="127">
        <v>1011</v>
      </c>
      <c r="L32" s="128"/>
      <c r="M32" s="125">
        <f>I32/E32*100</f>
        <v>0.7227296415151266</v>
      </c>
      <c r="N32" s="125"/>
      <c r="O32" s="125">
        <f>K32/G32*100</f>
        <v>1.8841200916901173</v>
      </c>
      <c r="P32" s="125"/>
    </row>
    <row r="33" spans="1:16" ht="12.75" customHeight="1">
      <c r="A33" s="2"/>
      <c r="B33" s="11" t="s">
        <v>129</v>
      </c>
      <c r="C33" s="11"/>
      <c r="D33" s="11"/>
      <c r="E33" s="127">
        <v>62219</v>
      </c>
      <c r="F33" s="121"/>
      <c r="G33" s="127">
        <v>61620</v>
      </c>
      <c r="H33" s="121"/>
      <c r="I33" s="127">
        <v>148</v>
      </c>
      <c r="J33" s="128"/>
      <c r="K33" s="127">
        <v>331</v>
      </c>
      <c r="L33" s="128"/>
      <c r="M33" s="125">
        <f>I33/E33*100</f>
        <v>0.2378694610970925</v>
      </c>
      <c r="N33" s="125"/>
      <c r="O33" s="125">
        <f>K33/G33*100</f>
        <v>0.537163258682246</v>
      </c>
      <c r="P33" s="125"/>
    </row>
    <row r="34" spans="1:16" ht="12.75" customHeight="1">
      <c r="A34" s="2"/>
      <c r="B34" s="11" t="s">
        <v>130</v>
      </c>
      <c r="C34" s="11"/>
      <c r="D34" s="11"/>
      <c r="E34" s="129">
        <f>285078-11777</f>
        <v>273301</v>
      </c>
      <c r="F34" s="121"/>
      <c r="G34" s="129">
        <f>262231-3458</f>
        <v>258773</v>
      </c>
      <c r="H34" s="121"/>
      <c r="I34" s="129">
        <v>7434</v>
      </c>
      <c r="J34" s="128"/>
      <c r="K34" s="129">
        <v>10135</v>
      </c>
      <c r="L34" s="128"/>
      <c r="M34" s="131">
        <f>I34/E34*100</f>
        <v>2.7200778628691444</v>
      </c>
      <c r="N34" s="125"/>
      <c r="O34" s="131">
        <f>K34/G34*100</f>
        <v>3.916560073887152</v>
      </c>
      <c r="P34" s="125"/>
    </row>
    <row r="35" spans="1:16" ht="12.75" customHeight="1">
      <c r="A35" s="2"/>
      <c r="B35" s="11"/>
      <c r="C35" s="11" t="s">
        <v>131</v>
      </c>
      <c r="D35" s="11"/>
      <c r="E35" s="127">
        <f>SUM(E31:E34)</f>
        <v>507014</v>
      </c>
      <c r="F35" s="121"/>
      <c r="G35" s="127">
        <f>SUM(G31:G34)</f>
        <v>483544</v>
      </c>
      <c r="H35" s="121"/>
      <c r="I35" s="127">
        <f>SUM(I31:I34)</f>
        <v>8399</v>
      </c>
      <c r="J35" s="128"/>
      <c r="K35" s="127">
        <f>SUM(K31:K34)</f>
        <v>12280</v>
      </c>
      <c r="L35" s="128"/>
      <c r="M35" s="125">
        <f>I35/E35*100</f>
        <v>1.6565617517465003</v>
      </c>
      <c r="N35" s="125"/>
      <c r="O35" s="125">
        <f>K35/G35*100</f>
        <v>2.539582747381831</v>
      </c>
      <c r="P35" s="125"/>
    </row>
    <row r="36" spans="1:16" ht="12.75" customHeight="1">
      <c r="A36" s="11"/>
      <c r="B36" s="11"/>
      <c r="C36" s="11"/>
      <c r="D36" s="11"/>
      <c r="E36" s="127"/>
      <c r="F36" s="121"/>
      <c r="G36" s="127"/>
      <c r="H36" s="121"/>
      <c r="I36" s="127"/>
      <c r="J36" s="128"/>
      <c r="K36" s="127"/>
      <c r="L36" s="128"/>
      <c r="M36" s="125"/>
      <c r="N36" s="125"/>
      <c r="O36" s="125"/>
      <c r="P36" s="125"/>
    </row>
    <row r="37" spans="1:16" ht="12.75" customHeight="1">
      <c r="A37" s="11" t="s">
        <v>157</v>
      </c>
      <c r="B37" s="11"/>
      <c r="C37" s="11"/>
      <c r="D37" s="11"/>
      <c r="E37" s="134">
        <v>63115</v>
      </c>
      <c r="F37" s="138"/>
      <c r="G37" s="134">
        <v>52264</v>
      </c>
      <c r="H37" s="138"/>
      <c r="I37" s="139">
        <v>670</v>
      </c>
      <c r="J37" s="140"/>
      <c r="K37" s="139">
        <v>1377</v>
      </c>
      <c r="L37" s="140"/>
      <c r="M37" s="125">
        <f>I37/E37*100</f>
        <v>1.0615543056325754</v>
      </c>
      <c r="N37" s="125"/>
      <c r="O37" s="125">
        <f>K37/G37*100</f>
        <v>2.634700750038267</v>
      </c>
      <c r="P37" s="125"/>
    </row>
    <row r="38" spans="1:16" ht="12.75" customHeight="1">
      <c r="A38" s="11" t="s">
        <v>166</v>
      </c>
      <c r="B38" s="11"/>
      <c r="C38" s="11"/>
      <c r="D38" s="11"/>
      <c r="E38" s="134">
        <v>1037</v>
      </c>
      <c r="F38" s="138"/>
      <c r="G38" s="134">
        <v>9818</v>
      </c>
      <c r="H38" s="138"/>
      <c r="I38" s="139">
        <v>5</v>
      </c>
      <c r="J38" s="140"/>
      <c r="K38" s="139">
        <f>247+5</f>
        <v>252</v>
      </c>
      <c r="L38" s="140"/>
      <c r="M38" s="125">
        <f>I38/E38*100</f>
        <v>0.4821600771456124</v>
      </c>
      <c r="N38" s="125"/>
      <c r="O38" s="125">
        <f>K38/G38*100</f>
        <v>2.566714198411082</v>
      </c>
      <c r="P38" s="125"/>
    </row>
    <row r="39" spans="1:16" ht="12.75" customHeight="1">
      <c r="A39" s="11" t="s">
        <v>167</v>
      </c>
      <c r="B39" s="11"/>
      <c r="C39" s="11"/>
      <c r="D39" s="11"/>
      <c r="E39" s="141">
        <f>10230+20619</f>
        <v>30849</v>
      </c>
      <c r="F39" s="138"/>
      <c r="G39" s="141">
        <f>13616+20619</f>
        <v>34235</v>
      </c>
      <c r="H39" s="138"/>
      <c r="I39" s="141">
        <v>1715</v>
      </c>
      <c r="J39" s="140"/>
      <c r="K39" s="141">
        <f>804+1373-247</f>
        <v>1930</v>
      </c>
      <c r="L39" s="140"/>
      <c r="M39" s="131">
        <f>I39/E39*100</f>
        <v>5.559337417744498</v>
      </c>
      <c r="N39" s="135"/>
      <c r="O39" s="131">
        <f>K39/G39*100</f>
        <v>5.637505476851175</v>
      </c>
      <c r="P39" s="135"/>
    </row>
    <row r="40" spans="1:16" ht="12.75" customHeight="1">
      <c r="A40" s="2"/>
      <c r="B40" s="2"/>
      <c r="C40" s="11"/>
      <c r="D40" s="11"/>
      <c r="E40" s="127"/>
      <c r="F40" s="121"/>
      <c r="G40" s="127"/>
      <c r="H40" s="121"/>
      <c r="I40" s="127"/>
      <c r="J40" s="128"/>
      <c r="K40" s="127"/>
      <c r="L40" s="128"/>
      <c r="M40" s="125"/>
      <c r="N40" s="125"/>
      <c r="O40" s="125"/>
      <c r="P40" s="125"/>
    </row>
    <row r="41" spans="1:16" ht="12.75" customHeight="1">
      <c r="A41" s="2"/>
      <c r="B41" s="11" t="s">
        <v>214</v>
      </c>
      <c r="C41" s="11"/>
      <c r="D41" s="11"/>
      <c r="E41" s="141">
        <f>SUM(E35:E39)</f>
        <v>602015</v>
      </c>
      <c r="F41" s="121"/>
      <c r="G41" s="141">
        <f>SUM(G35:G39)</f>
        <v>579861</v>
      </c>
      <c r="H41" s="121"/>
      <c r="I41" s="141">
        <f>SUM(I35:I39)</f>
        <v>10789</v>
      </c>
      <c r="J41" s="132"/>
      <c r="K41" s="141">
        <f>SUM(K35:K39)</f>
        <v>15839</v>
      </c>
      <c r="L41" s="132"/>
      <c r="M41" s="133">
        <f>ROUND(I41/E41*100,2)</f>
        <v>1.79</v>
      </c>
      <c r="N41" s="125"/>
      <c r="O41" s="133">
        <f>ROUND(K41/G41*100,2)</f>
        <v>2.73</v>
      </c>
      <c r="P41" s="125"/>
    </row>
    <row r="42" spans="1:12" ht="12.75" customHeight="1">
      <c r="A42" s="11"/>
      <c r="B42" s="11"/>
      <c r="C42" s="11"/>
      <c r="D42" s="11"/>
      <c r="E42" s="127"/>
      <c r="G42" s="127"/>
      <c r="H42" s="114"/>
      <c r="I42" s="128"/>
      <c r="J42" s="128"/>
      <c r="K42" s="128"/>
      <c r="L42" s="128"/>
    </row>
    <row r="43" spans="1:12" ht="12.75" customHeight="1">
      <c r="A43" s="11" t="s">
        <v>213</v>
      </c>
      <c r="B43" s="11"/>
      <c r="C43" s="11"/>
      <c r="D43" s="11"/>
      <c r="E43" s="127">
        <f>100279-593</f>
        <v>99686</v>
      </c>
      <c r="F43" s="121"/>
      <c r="G43" s="127">
        <f>103785-5628</f>
        <v>98157</v>
      </c>
      <c r="H43" s="121"/>
      <c r="I43" s="128"/>
      <c r="J43" s="128"/>
      <c r="K43" s="128"/>
      <c r="L43" s="128"/>
    </row>
    <row r="44" spans="1:12" ht="12.75" customHeight="1">
      <c r="A44" s="11" t="s">
        <v>132</v>
      </c>
      <c r="B44" s="11"/>
      <c r="C44" s="11"/>
      <c r="D44" s="11"/>
      <c r="E44" s="127">
        <f>-7556+11777+593</f>
        <v>4814</v>
      </c>
      <c r="F44" s="121"/>
      <c r="G44" s="127">
        <f>-4153+3458+5628</f>
        <v>4933</v>
      </c>
      <c r="H44" s="121"/>
      <c r="I44" s="128"/>
      <c r="J44" s="128"/>
      <c r="K44" s="128"/>
      <c r="L44" s="128"/>
    </row>
    <row r="45" spans="1:12" ht="12.75" customHeight="1">
      <c r="A45" s="11" t="s">
        <v>85</v>
      </c>
      <c r="B45" s="11"/>
      <c r="C45" s="11"/>
      <c r="D45" s="11"/>
      <c r="E45" s="129">
        <v>103625</v>
      </c>
      <c r="F45" s="121"/>
      <c r="G45" s="129">
        <v>102917</v>
      </c>
      <c r="H45" s="121"/>
      <c r="I45" s="128"/>
      <c r="J45" s="128"/>
      <c r="K45" s="128"/>
      <c r="L45" s="128"/>
    </row>
    <row r="46" spans="1:12" ht="12.75" customHeight="1">
      <c r="A46" s="2"/>
      <c r="B46" s="11"/>
      <c r="C46" s="11" t="s">
        <v>133</v>
      </c>
      <c r="D46" s="11"/>
      <c r="E46" s="128"/>
      <c r="F46" s="121"/>
      <c r="G46" s="128"/>
      <c r="H46" s="121"/>
      <c r="I46" s="128"/>
      <c r="J46" s="128"/>
      <c r="K46" s="128"/>
      <c r="L46" s="128"/>
    </row>
    <row r="47" spans="1:12" ht="12.75" customHeight="1" thickBot="1">
      <c r="A47" s="2"/>
      <c r="B47" s="11"/>
      <c r="C47" s="11"/>
      <c r="D47" s="11" t="s">
        <v>178</v>
      </c>
      <c r="E47" s="136">
        <f>SUM(E41:E45)</f>
        <v>810140</v>
      </c>
      <c r="F47" s="121"/>
      <c r="G47" s="136">
        <f>SUM(G41:G45)</f>
        <v>785868</v>
      </c>
      <c r="H47" s="121"/>
      <c r="I47" s="128"/>
      <c r="J47" s="128"/>
      <c r="K47" s="128"/>
      <c r="L47" s="128"/>
    </row>
    <row r="48" spans="1:12" ht="12.75" customHeight="1" thickTop="1">
      <c r="A48" s="2"/>
      <c r="B48" s="2"/>
      <c r="C48" s="2"/>
      <c r="D48" s="2"/>
      <c r="E48" s="137"/>
      <c r="G48" s="128"/>
      <c r="H48" s="114"/>
      <c r="I48" s="128"/>
      <c r="J48" s="128"/>
      <c r="K48" s="128"/>
      <c r="L48" s="128"/>
    </row>
    <row r="49" spans="1:16" ht="12.75" customHeight="1" thickBot="1">
      <c r="A49" s="11" t="s">
        <v>115</v>
      </c>
      <c r="B49" s="11"/>
      <c r="C49" s="11"/>
      <c r="D49" s="11"/>
      <c r="E49" s="127"/>
      <c r="F49" s="121"/>
      <c r="G49" s="127"/>
      <c r="H49" s="121"/>
      <c r="I49" s="127"/>
      <c r="J49" s="127"/>
      <c r="K49" s="127"/>
      <c r="L49" s="127"/>
      <c r="M49" s="142">
        <f>M24-M41</f>
        <v>3.4699999999999998</v>
      </c>
      <c r="N49" s="126" t="s">
        <v>35</v>
      </c>
      <c r="O49" s="142">
        <f>O24-O41</f>
        <v>3.3299999999999996</v>
      </c>
      <c r="P49" s="126" t="s">
        <v>35</v>
      </c>
    </row>
    <row r="50" spans="1:16" ht="12.75" customHeight="1" thickBot="1" thickTop="1">
      <c r="A50" s="11" t="s">
        <v>116</v>
      </c>
      <c r="B50" s="11"/>
      <c r="C50" s="11"/>
      <c r="D50" s="11"/>
      <c r="E50" s="128"/>
      <c r="F50" s="121"/>
      <c r="G50" s="128"/>
      <c r="H50" s="121"/>
      <c r="I50" s="128"/>
      <c r="J50" s="128"/>
      <c r="K50" s="128"/>
      <c r="L50" s="128"/>
      <c r="M50" s="143">
        <f>I52/E24*100</f>
        <v>3.807729041100325</v>
      </c>
      <c r="N50" s="126" t="s">
        <v>35</v>
      </c>
      <c r="O50" s="143">
        <f>K52/G24*100</f>
        <v>3.8661567930593668</v>
      </c>
      <c r="P50" s="126" t="s">
        <v>35</v>
      </c>
    </row>
    <row r="51" spans="1:16" ht="12.75" customHeight="1" thickTop="1">
      <c r="A51" s="11"/>
      <c r="B51" s="11"/>
      <c r="C51" s="11"/>
      <c r="D51" s="11"/>
      <c r="E51" s="127"/>
      <c r="F51" s="121"/>
      <c r="G51" s="127"/>
      <c r="H51" s="121"/>
      <c r="I51" s="127"/>
      <c r="J51" s="127"/>
      <c r="K51" s="127"/>
      <c r="L51" s="127"/>
      <c r="M51" s="135"/>
      <c r="N51" s="126"/>
      <c r="O51" s="135"/>
      <c r="P51" s="126"/>
    </row>
    <row r="52" spans="1:12" ht="12.75" customHeight="1">
      <c r="A52" s="11" t="s">
        <v>117</v>
      </c>
      <c r="B52" s="11"/>
      <c r="C52" s="11"/>
      <c r="D52" s="11"/>
      <c r="E52" s="128"/>
      <c r="F52" s="121"/>
      <c r="G52" s="128"/>
      <c r="H52" s="121"/>
      <c r="I52" s="127">
        <f>I24-I41</f>
        <v>28227</v>
      </c>
      <c r="J52" s="127"/>
      <c r="K52" s="127">
        <f>K24-K41</f>
        <v>27914</v>
      </c>
      <c r="L52" s="127"/>
    </row>
    <row r="53" spans="1:16" ht="12.75" customHeight="1">
      <c r="A53" s="11" t="s">
        <v>179</v>
      </c>
      <c r="B53" s="11"/>
      <c r="C53" s="11"/>
      <c r="D53" s="11"/>
      <c r="E53" s="127"/>
      <c r="F53" s="121"/>
      <c r="G53" s="127"/>
      <c r="H53" s="121"/>
      <c r="I53" s="127">
        <v>955</v>
      </c>
      <c r="J53" s="127"/>
      <c r="K53" s="127">
        <v>881</v>
      </c>
      <c r="L53" s="127"/>
      <c r="M53" s="125"/>
      <c r="N53" s="125"/>
      <c r="O53" s="125"/>
      <c r="P53" s="125"/>
    </row>
    <row r="54" spans="1:16" ht="12.75" customHeight="1" thickBot="1">
      <c r="A54" s="11" t="s">
        <v>61</v>
      </c>
      <c r="B54" s="11"/>
      <c r="C54" s="11"/>
      <c r="D54" s="11"/>
      <c r="E54" s="128"/>
      <c r="G54" s="128"/>
      <c r="H54" s="114"/>
      <c r="I54" s="144">
        <f>+I52-I53</f>
        <v>27272</v>
      </c>
      <c r="J54" s="127"/>
      <c r="K54" s="144">
        <f>+K52-K53</f>
        <v>27033</v>
      </c>
      <c r="L54" s="127"/>
      <c r="M54" s="125"/>
      <c r="N54" s="125"/>
      <c r="O54" s="125"/>
      <c r="P54" s="125"/>
    </row>
    <row r="55" spans="8:11" ht="12.75" customHeight="1" thickTop="1">
      <c r="H55" s="114"/>
      <c r="I55" s="145"/>
      <c r="J55" s="127"/>
      <c r="K55" s="127"/>
    </row>
    <row r="56" spans="5:12" ht="12.75" customHeight="1">
      <c r="E56" s="128"/>
      <c r="G56" s="128"/>
      <c r="H56" s="114"/>
      <c r="I56" s="128"/>
      <c r="J56" s="128"/>
      <c r="K56" s="128"/>
      <c r="L56" s="128"/>
    </row>
    <row r="57" spans="1:16" ht="12" customHeight="1">
      <c r="A57" s="146"/>
      <c r="B57" s="146"/>
      <c r="C57" s="146"/>
      <c r="D57" s="146"/>
      <c r="E57" s="146"/>
      <c r="F57" s="146"/>
      <c r="G57" s="146"/>
      <c r="H57" s="146"/>
      <c r="I57" s="147"/>
      <c r="J57" s="147"/>
      <c r="K57" s="147"/>
      <c r="L57" s="147"/>
      <c r="M57" s="146"/>
      <c r="N57" s="146"/>
      <c r="O57" s="146"/>
      <c r="P57" s="146"/>
    </row>
    <row r="58" spans="1:16" ht="12.7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</row>
    <row r="59" ht="12.75">
      <c r="H59" s="114"/>
    </row>
    <row r="60" ht="12.75">
      <c r="H60" s="114"/>
    </row>
  </sheetData>
  <mergeCells count="8">
    <mergeCell ref="A1:P1"/>
    <mergeCell ref="M6:P6"/>
    <mergeCell ref="I6:K6"/>
    <mergeCell ref="E6:H6"/>
    <mergeCell ref="B3:P3"/>
    <mergeCell ref="A2:P2"/>
    <mergeCell ref="I5:K5"/>
    <mergeCell ref="M5:P5"/>
  </mergeCells>
  <printOptions horizontalCentered="1" verticalCentered="1"/>
  <pageMargins left="0.25" right="0.25" top="0.5" bottom="0.25" header="0.25" footer="0"/>
  <pageSetup fitToHeight="1" fitToWidth="1" horizontalDpi="300" verticalDpi="300" orientation="portrait" r:id="rId1"/>
  <headerFooter alignWithMargins="0">
    <oddHeader>&amp;R&amp;8&amp;F    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Jefferson</dc:creator>
  <cp:keywords/>
  <dc:description/>
  <cp:lastModifiedBy>yeattsb</cp:lastModifiedBy>
  <cp:lastPrinted>2010-01-19T17:52:17Z</cp:lastPrinted>
  <dcterms:created xsi:type="dcterms:W3CDTF">2000-04-19T12:40:47Z</dcterms:created>
  <dcterms:modified xsi:type="dcterms:W3CDTF">2010-01-20T21:14:57Z</dcterms:modified>
  <cp:category/>
  <cp:version/>
  <cp:contentType/>
  <cp:contentStatus/>
</cp:coreProperties>
</file>